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Health\BOH regs and policies\Nitrogen Loading Regulation 2022\Final Documents\"/>
    </mc:Choice>
  </mc:AlternateContent>
  <xr:revisionPtr revIDLastSave="0" documentId="8_{9E7E8081-8778-423B-9938-85C61D4DD968}" xr6:coauthVersionLast="47" xr6:coauthVersionMax="47" xr10:uidLastSave="{00000000-0000-0000-0000-000000000000}"/>
  <bookViews>
    <workbookView xWindow="-108" yWindow="-108" windowWidth="23256" windowHeight="12576" activeTab="3" xr2:uid="{1F6A2E18-016B-4F80-9C90-CC4B5BDCD224}"/>
  </bookViews>
  <sheets>
    <sheet name="Instructions" sheetId="5" r:id="rId1"/>
    <sheet name="Residential" sheetId="1" r:id="rId2"/>
    <sheet name="Commercial|Industrial" sheetId="3" r:id="rId3"/>
    <sheet name="Mixed Use"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I12" i="1" s="1"/>
  <c r="H4" i="1"/>
  <c r="H6" i="1"/>
  <c r="J18" i="1"/>
  <c r="K18" i="1" s="1"/>
  <c r="I6" i="1"/>
  <c r="I8" i="1"/>
  <c r="J18" i="6"/>
  <c r="K18" i="6" s="1"/>
  <c r="J20" i="6"/>
  <c r="J19" i="6"/>
  <c r="K19" i="6" s="1"/>
  <c r="C12" i="6"/>
  <c r="I12" i="6" s="1"/>
  <c r="I10" i="6"/>
  <c r="H10" i="6"/>
  <c r="I8" i="6"/>
  <c r="H8" i="6"/>
  <c r="I6" i="6"/>
  <c r="H6" i="6"/>
  <c r="I4" i="6"/>
  <c r="H4" i="6"/>
  <c r="J18" i="3"/>
  <c r="K18" i="3" s="1"/>
  <c r="C12" i="3"/>
  <c r="I12" i="3" s="1"/>
  <c r="I10" i="3"/>
  <c r="H10" i="3"/>
  <c r="I8" i="3"/>
  <c r="H8" i="3"/>
  <c r="I6" i="3"/>
  <c r="H6" i="3"/>
  <c r="I4" i="3"/>
  <c r="H4" i="3"/>
  <c r="I10" i="1"/>
  <c r="H10" i="1"/>
  <c r="J19" i="1"/>
  <c r="K19" i="1" s="1"/>
  <c r="H8" i="1"/>
  <c r="I4" i="1"/>
  <c r="I14" i="6" l="1"/>
  <c r="K20" i="6"/>
  <c r="H12" i="6"/>
  <c r="H14" i="6" s="1"/>
  <c r="I14" i="3"/>
  <c r="J21" i="3" s="1"/>
  <c r="H12" i="3"/>
  <c r="H14" i="3" s="1"/>
  <c r="H12" i="1"/>
  <c r="H14" i="1" s="1"/>
  <c r="I22" i="1" s="1"/>
  <c r="I14" i="1"/>
  <c r="J22" i="1" s="1"/>
  <c r="I24" i="6" l="1"/>
  <c r="I23" i="6"/>
  <c r="J24" i="6"/>
  <c r="J23" i="6"/>
  <c r="I21" i="3"/>
  <c r="K21" i="3" s="1"/>
  <c r="K22" i="1"/>
  <c r="I23" i="1"/>
  <c r="J23" i="1"/>
  <c r="K23" i="6" l="1"/>
  <c r="K24" i="6"/>
  <c r="K25" i="6" s="1"/>
  <c r="K22" i="3"/>
  <c r="K23" i="1"/>
  <c r="K24" i="1" s="1"/>
</calcChain>
</file>

<file path=xl/sharedStrings.xml><?xml version="1.0" encoding="utf-8"?>
<sst xmlns="http://schemas.openxmlformats.org/spreadsheetml/2006/main" count="155" uniqueCount="55">
  <si>
    <t>Title 5 Design Flow</t>
  </si>
  <si>
    <t>mg/L</t>
  </si>
  <si>
    <t>Section 1: Runoff</t>
  </si>
  <si>
    <t>Total footprint of all buildings on the property</t>
  </si>
  <si>
    <t>Land Use/Nitrogen Source</t>
  </si>
  <si>
    <t>Nitrogen Loading Input</t>
  </si>
  <si>
    <t>Building Roof Area</t>
  </si>
  <si>
    <t>3 lbs N/1,000 sq ft - 25% leaching rate</t>
  </si>
  <si>
    <t>Natural/Undisturbed Areas</t>
  </si>
  <si>
    <t>Calcualted by subtracting roof, road/impervous areas, and lawn areas from total lot size.</t>
  </si>
  <si>
    <t>Lot size (total)</t>
  </si>
  <si>
    <t>Lawn Size</t>
  </si>
  <si>
    <t xml:space="preserve">Lawn areas defined as ground covered with grass or other vegetation that is mowed more than twice a year.  The minimum lawn size for nitrogen loading calculations is 1,000 sq. ft. </t>
  </si>
  <si>
    <t>Nitrogen Load (mg/day)</t>
  </si>
  <si>
    <t>inches/year</t>
  </si>
  <si>
    <t>(units)</t>
  </si>
  <si>
    <t>Subtotal: Runoff</t>
  </si>
  <si>
    <t>Volume (L/day)</t>
  </si>
  <si>
    <t>Section 2: Wastewater</t>
  </si>
  <si>
    <t>Do you have an Innovative/Alternative Septic System (Yes/No)?</t>
  </si>
  <si>
    <t>Number of Bedrooms?</t>
  </si>
  <si>
    <t xml:space="preserve">Based on Title 5 (310 CMR 15.203): Each bedroom is assumed to have associated with it 110 gallons per day of flow. </t>
  </si>
  <si>
    <t>Average Wastewater Flow</t>
  </si>
  <si>
    <t>The average wastewater flow method assumes 2.3 people and an average flow of 55 gallons per day per person.</t>
  </si>
  <si>
    <t>Total nitrogen load (including runoff and wastewater)</t>
  </si>
  <si>
    <t>Title 5</t>
  </si>
  <si>
    <t>Average</t>
  </si>
  <si>
    <t>Load (ppm)</t>
  </si>
  <si>
    <t>Average Nitrogen Load</t>
  </si>
  <si>
    <t>Footprint of paved/ impervious areas including driveways, parking areas, buildings and impervous patios. Impervious areas include gravel, shell, and crushed stone pathways or driveways or parking areas</t>
  </si>
  <si>
    <t>Other/Miscellaneous</t>
  </si>
  <si>
    <t>Recharge Rate</t>
  </si>
  <si>
    <t>Complete the highlighted cells as applicable.</t>
  </si>
  <si>
    <t>Road/Driveway/
Impervious Area</t>
  </si>
  <si>
    <t>Area 
(square feet)</t>
  </si>
  <si>
    <t>If "Yes", what is the nitrogen concentraion of the system (in units of mg/L), based on the DEP Alternative System Approval Letter? (See https://www.mass.gov/guides/innovative-technology-and-title-5-systems)</t>
  </si>
  <si>
    <t>Based on Title 5 (310 CMR 15.203). Calculate design flow based on the property features listed in table (3) (COMMERCIAL)</t>
  </si>
  <si>
    <t>Title 5 design flow (gallons per day)</t>
  </si>
  <si>
    <t>Instructions</t>
  </si>
  <si>
    <t>Title 5 Design Flow: Residential</t>
  </si>
  <si>
    <t>Title 5 Design Flow: Commercial</t>
  </si>
  <si>
    <t>(Gallons per day)</t>
  </si>
  <si>
    <t>N-Load (mg/day)</t>
  </si>
  <si>
    <t>To complete section 1 (Runoff), input the areas (in square feet) of the property and of the various ground covers (roof, impervious material, lawn) on the property.</t>
  </si>
  <si>
    <t xml:space="preserve">To complete section 2 (Wastewater), first indicate if you have an innovative/advanced septic system by completing that field with either "Yes" or "No". If yes, then input the effluent nitrogen concentration based on the value approved by MA DEP for that system. If no, then a default value of 35 mg/L is automatically used. </t>
  </si>
  <si>
    <t>For any other potential sources of nitrogen on the property. Inputs must be approved by the health agent.</t>
  </si>
  <si>
    <t>Total footprint of all buildings on the property.</t>
  </si>
  <si>
    <t>Footprint of paved/ impervious areas including driveways, parking areas, buildings and impervous patios. Impervious areas include gravel, shell, and crushed stone pathways or driveways or parking areas.</t>
  </si>
  <si>
    <t>Lawn areas defined as ground covered with grass or other vegetation that is mowed more than twice a year.  The minimum lawn size for nitrogen loading calculations is 1,000 sq. ft. .</t>
  </si>
  <si>
    <t>Nitrogen Loading Calcluations under the Board of Health Nitrogen Loading Regulation must be conducted using the spreadsheets in this workbook.</t>
  </si>
  <si>
    <t xml:space="preserve">This workbook contains three sheets, each calculating an estimate of nitrogen loading for different types of properties in Brewster. Navigate to the sheet ("Residential", or "Commercial|Industrial", or "Mixed Use") which best describes your property and complete the highlighted cells to calculate. 
The calculation includes two sections - Section 1 calculates the nitrogen loading from runoff on the property and Section 2 calculates the nitrogen loading from wastewater. Nitrogen from both runoff and wastewater are combined to calculate the total average nitrogren load from any property. </t>
  </si>
  <si>
    <t>For residential properties, the title 5 design flow is calculated based on the number of bedrooms on the property. The title 5 design flow is averaged with an average nitrogen load for residential properties in the final average nitrogen load value. For commercial/industrial properties, input the design wastewater flows according to Title 5 section 203 (310 CMR 15.203), Table 3. The worksheet for mixed use properties includes room for both of these figures.</t>
  </si>
  <si>
    <t xml:space="preserve">The loading rates for any other land use associated with a property not included in this workbook must be presented to the Brewster Health Agent or their designee for review and approval as required in the Nitrogen Loading Regulation.  The additional loading rates, once approved can be entered in the "Other" category on the appropriate sheet.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</si>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</sst>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color rgb="FFFF0000"/>
      <name val="Calibri"/>
      <family val="2"/>
      <scheme val="minor"/>
    </font>
    <font>
      <i/>
      <sz val="10"/>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s>
  <cellStyleXfs count="1">
    <xf numFmtId="0" fontId="0" fillId="0" borderId="0"/>
  </cellStyleXfs>
  <cellXfs count="217">
    <xf numFmtId="0" fontId="0" fillId="0" borderId="0" xfId="0"/>
    <xf numFmtId="0" fontId="2" fillId="0" borderId="0" xfId="0" applyFont="1"/>
    <xf numFmtId="0" fontId="0" fillId="0" borderId="1" xfId="0" applyBorder="1"/>
    <xf numFmtId="164" fontId="2" fillId="0" borderId="1" xfId="0" applyNumberFormat="1" applyFont="1" applyBorder="1" applyAlignment="1">
      <alignment wrapText="1"/>
    </xf>
    <xf numFmtId="0" fontId="0" fillId="0" borderId="0" xfId="0" applyAlignment="1">
      <alignment vertical="center" textRotation="90"/>
    </xf>
    <xf numFmtId="0" fontId="0" fillId="0" borderId="6" xfId="0" applyBorder="1"/>
    <xf numFmtId="0" fontId="2" fillId="0" borderId="0" xfId="0" applyFont="1" applyBorder="1" applyAlignment="1">
      <alignment horizontal="center" vertical="center" wrapText="1"/>
    </xf>
    <xf numFmtId="0" fontId="1" fillId="0" borderId="8" xfId="0" applyFont="1" applyBorder="1" applyAlignment="1">
      <alignment horizontal="right"/>
    </xf>
    <xf numFmtId="164" fontId="0" fillId="0" borderId="8" xfId="0" applyNumberFormat="1" applyBorder="1"/>
    <xf numFmtId="164" fontId="0" fillId="0" borderId="9" xfId="0" applyNumberFormat="1" applyBorder="1"/>
    <xf numFmtId="0" fontId="1" fillId="0" borderId="6" xfId="0" applyFont="1" applyBorder="1" applyAlignment="1">
      <alignment horizontal="right"/>
    </xf>
    <xf numFmtId="164" fontId="0" fillId="0" borderId="6" xfId="0" applyNumberFormat="1" applyBorder="1"/>
    <xf numFmtId="164" fontId="0" fillId="0" borderId="11" xfId="0" applyNumberFormat="1" applyBorder="1"/>
    <xf numFmtId="164" fontId="0" fillId="0" borderId="17" xfId="0" applyNumberFormat="1" applyBorder="1"/>
    <xf numFmtId="0" fontId="0" fillId="0" borderId="11" xfId="0" applyBorder="1"/>
    <xf numFmtId="0" fontId="0" fillId="0" borderId="0" xfId="0" applyAlignment="1">
      <alignment horizontal="center" vertical="center" textRotation="90"/>
    </xf>
    <xf numFmtId="0" fontId="2" fillId="0" borderId="0" xfId="0" applyFont="1" applyBorder="1" applyAlignment="1">
      <alignment horizontal="left" wrapText="1"/>
    </xf>
    <xf numFmtId="0" fontId="0" fillId="0" borderId="0" xfId="0" applyBorder="1"/>
    <xf numFmtId="0" fontId="2" fillId="0" borderId="1" xfId="0" applyFont="1" applyBorder="1"/>
    <xf numFmtId="0" fontId="0" fillId="0" borderId="0" xfId="0" applyAlignment="1">
      <alignment vertical="center" wrapText="1"/>
    </xf>
    <xf numFmtId="0" fontId="3" fillId="0" borderId="18" xfId="0" applyFont="1" applyBorder="1" applyAlignment="1">
      <alignment wrapText="1"/>
    </xf>
    <xf numFmtId="0" fontId="3" fillId="0" borderId="32" xfId="0" applyFont="1" applyFill="1" applyBorder="1" applyAlignment="1">
      <alignment wrapText="1"/>
    </xf>
    <xf numFmtId="0" fontId="3" fillId="0" borderId="22" xfId="0" applyFont="1" applyBorder="1" applyAlignment="1">
      <alignment horizontal="center" vertical="center"/>
    </xf>
    <xf numFmtId="0" fontId="3" fillId="0" borderId="33" xfId="0" applyFont="1" applyBorder="1" applyAlignment="1">
      <alignment wrapText="1"/>
    </xf>
    <xf numFmtId="0" fontId="3" fillId="0" borderId="33" xfId="0" applyFont="1" applyFill="1" applyBorder="1" applyAlignment="1">
      <alignment wrapText="1"/>
    </xf>
    <xf numFmtId="0" fontId="4" fillId="0" borderId="33" xfId="0" applyFont="1" applyFill="1" applyBorder="1" applyAlignment="1">
      <alignment wrapText="1"/>
    </xf>
    <xf numFmtId="0" fontId="6" fillId="0" borderId="0" xfId="0" applyFont="1" applyFill="1" applyBorder="1" applyAlignment="1">
      <alignment vertical="center"/>
    </xf>
    <xf numFmtId="0" fontId="2" fillId="0" borderId="0" xfId="0" applyFont="1" applyBorder="1" applyAlignment="1">
      <alignment horizontal="center" wrapText="1"/>
    </xf>
    <xf numFmtId="0" fontId="2" fillId="0" borderId="5" xfId="0" applyFont="1" applyBorder="1" applyAlignment="1">
      <alignment horizontal="center" wrapText="1"/>
    </xf>
    <xf numFmtId="0" fontId="2" fillId="0" borderId="0" xfId="0" applyFont="1" applyBorder="1" applyAlignment="1">
      <alignment vertical="center" wrapText="1"/>
    </xf>
    <xf numFmtId="0" fontId="3" fillId="0" borderId="30" xfId="0" applyFont="1" applyBorder="1" applyAlignment="1">
      <alignment horizontal="left" vertical="center" wrapText="1"/>
    </xf>
    <xf numFmtId="164" fontId="0" fillId="0" borderId="17" xfId="0" applyNumberFormat="1" applyBorder="1" applyAlignment="1">
      <alignment vertical="center"/>
    </xf>
    <xf numFmtId="0" fontId="2" fillId="0" borderId="1" xfId="0" applyFont="1" applyBorder="1" applyAlignment="1">
      <alignment vertical="center"/>
    </xf>
    <xf numFmtId="164" fontId="2" fillId="0" borderId="1" xfId="0" applyNumberFormat="1" applyFont="1" applyBorder="1" applyAlignment="1">
      <alignment vertical="center" wrapText="1"/>
    </xf>
    <xf numFmtId="0" fontId="3" fillId="0" borderId="35" xfId="0" applyFont="1" applyBorder="1"/>
    <xf numFmtId="0" fontId="2" fillId="0" borderId="20" xfId="0" applyFont="1" applyBorder="1" applyAlignment="1">
      <alignment wrapText="1"/>
    </xf>
    <xf numFmtId="164" fontId="1" fillId="0" borderId="13" xfId="0" applyNumberFormat="1" applyFont="1" applyBorder="1"/>
    <xf numFmtId="164" fontId="1" fillId="0" borderId="14" xfId="0" applyNumberFormat="1" applyFont="1" applyBorder="1"/>
    <xf numFmtId="0" fontId="3" fillId="0" borderId="24" xfId="0" applyFont="1" applyBorder="1" applyAlignment="1">
      <alignment wrapText="1"/>
    </xf>
    <xf numFmtId="0" fontId="3" fillId="0" borderId="37" xfId="0" applyFont="1" applyBorder="1" applyAlignment="1">
      <alignment wrapText="1"/>
    </xf>
    <xf numFmtId="0" fontId="3" fillId="0" borderId="40" xfId="0" applyFont="1" applyBorder="1" applyAlignment="1">
      <alignment horizontal="right" wrapText="1"/>
    </xf>
    <xf numFmtId="0" fontId="0" fillId="0" borderId="0" xfId="0" applyAlignment="1">
      <alignment wrapText="1"/>
    </xf>
    <xf numFmtId="0" fontId="0" fillId="0" borderId="0" xfId="0" applyAlignment="1">
      <alignment horizontal="center" wrapText="1"/>
    </xf>
    <xf numFmtId="0" fontId="0" fillId="0" borderId="0" xfId="0" applyFill="1" applyBorder="1"/>
    <xf numFmtId="0" fontId="0" fillId="2" borderId="1" xfId="0" applyFill="1" applyBorder="1" applyProtection="1">
      <protection locked="0"/>
    </xf>
    <xf numFmtId="0" fontId="0" fillId="2" borderId="1" xfId="0" applyFill="1" applyBorder="1" applyAlignment="1" applyProtection="1">
      <alignment horizontal="center"/>
      <protection locked="0"/>
    </xf>
    <xf numFmtId="0" fontId="2" fillId="2" borderId="37" xfId="0" applyFont="1" applyFill="1" applyBorder="1" applyAlignment="1" applyProtection="1">
      <alignment horizontal="center" vertical="center"/>
      <protection locked="0"/>
    </xf>
    <xf numFmtId="0" fontId="0" fillId="2" borderId="20" xfId="0" applyFill="1" applyBorder="1" applyProtection="1">
      <protection locked="0"/>
    </xf>
    <xf numFmtId="0" fontId="2" fillId="0" borderId="9" xfId="0" applyFont="1" applyFill="1" applyBorder="1" applyAlignment="1" applyProtection="1">
      <alignment horizontal="center" vertical="center" wrapText="1"/>
      <protection locked="0"/>
    </xf>
    <xf numFmtId="0" fontId="7" fillId="0" borderId="0" xfId="0" applyFont="1" applyAlignment="1">
      <alignment horizontal="center"/>
    </xf>
    <xf numFmtId="0" fontId="0" fillId="0" borderId="0" xfId="0" applyAlignment="1">
      <alignment horizontal="center" wrapText="1"/>
    </xf>
    <xf numFmtId="0" fontId="6" fillId="0" borderId="1" xfId="0" applyFont="1" applyBorder="1" applyAlignment="1">
      <alignment horizontal="left" wrapText="1"/>
    </xf>
    <xf numFmtId="164" fontId="0" fillId="0" borderId="33" xfId="0" applyNumberFormat="1" applyBorder="1"/>
    <xf numFmtId="164" fontId="0" fillId="0" borderId="32" xfId="0" applyNumberFormat="1" applyBorder="1"/>
    <xf numFmtId="0" fontId="0" fillId="2" borderId="43" xfId="0" applyFill="1" applyBorder="1" applyProtection="1">
      <protection locked="0"/>
    </xf>
    <xf numFmtId="0" fontId="3" fillId="0" borderId="45" xfId="0" applyFont="1" applyBorder="1"/>
    <xf numFmtId="0" fontId="0" fillId="3" borderId="39" xfId="0" applyFill="1" applyBorder="1"/>
    <xf numFmtId="0" fontId="2" fillId="0" borderId="45" xfId="0" applyFont="1" applyBorder="1" applyAlignment="1">
      <alignment wrapText="1"/>
    </xf>
    <xf numFmtId="0" fontId="2" fillId="0" borderId="47" xfId="0" applyFont="1" applyBorder="1" applyAlignment="1">
      <alignment vertical="center" wrapText="1"/>
    </xf>
    <xf numFmtId="0" fontId="0" fillId="0" borderId="0" xfId="0" applyFill="1" applyAlignment="1">
      <alignment horizontal="center" vertical="center" textRotation="90"/>
    </xf>
    <xf numFmtId="0" fontId="2" fillId="0" borderId="0" xfId="0" applyFont="1" applyFill="1" applyBorder="1" applyAlignment="1">
      <alignment vertical="center" wrapText="1"/>
    </xf>
    <xf numFmtId="0" fontId="2" fillId="0" borderId="0" xfId="0" applyFont="1" applyFill="1" applyBorder="1" applyAlignment="1">
      <alignment horizontal="center" wrapText="1"/>
    </xf>
    <xf numFmtId="0" fontId="2" fillId="0" borderId="5" xfId="0" applyFont="1" applyFill="1" applyBorder="1" applyAlignment="1">
      <alignment horizontal="center" wrapText="1"/>
    </xf>
    <xf numFmtId="0" fontId="0" fillId="0" borderId="0" xfId="0" applyFill="1"/>
    <xf numFmtId="0" fontId="2" fillId="0" borderId="1" xfId="0" applyFont="1" applyBorder="1" applyAlignment="1">
      <alignment wrapText="1"/>
    </xf>
    <xf numFmtId="0" fontId="0" fillId="3" borderId="48" xfId="0" applyFill="1" applyBorder="1"/>
    <xf numFmtId="0" fontId="0" fillId="3" borderId="45" xfId="0" applyFill="1" applyBorder="1"/>
    <xf numFmtId="0" fontId="3" fillId="0" borderId="23" xfId="0" applyFont="1" applyBorder="1" applyAlignment="1">
      <alignment wrapText="1"/>
    </xf>
    <xf numFmtId="0" fontId="2" fillId="2" borderId="33"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wrapText="1"/>
      <protection locked="0"/>
    </xf>
    <xf numFmtId="0" fontId="2" fillId="0" borderId="3" xfId="0" applyFont="1" applyBorder="1" applyAlignment="1">
      <alignment wrapText="1"/>
    </xf>
    <xf numFmtId="0" fontId="5" fillId="0" borderId="36" xfId="0" applyFont="1" applyBorder="1" applyAlignment="1"/>
    <xf numFmtId="0" fontId="5" fillId="0" borderId="31" xfId="0" applyFont="1" applyBorder="1" applyAlignment="1"/>
    <xf numFmtId="164" fontId="0" fillId="0" borderId="39" xfId="0" applyNumberFormat="1" applyBorder="1" applyAlignment="1">
      <alignment horizontal="right"/>
    </xf>
    <xf numFmtId="164" fontId="0" fillId="0" borderId="1" xfId="0" applyNumberFormat="1" applyBorder="1"/>
    <xf numFmtId="0" fontId="3" fillId="2" borderId="25" xfId="0" applyFont="1" applyFill="1" applyBorder="1" applyAlignment="1" applyProtection="1">
      <alignment horizontal="center"/>
      <protection locked="0"/>
    </xf>
    <xf numFmtId="0" fontId="2" fillId="0" borderId="20" xfId="0" applyFont="1" applyBorder="1"/>
    <xf numFmtId="164" fontId="2" fillId="0" borderId="20" xfId="0" applyNumberFormat="1" applyFont="1" applyBorder="1" applyAlignment="1">
      <alignment wrapText="1"/>
    </xf>
    <xf numFmtId="164" fontId="0" fillId="0" borderId="23" xfId="0" applyNumberFormat="1" applyBorder="1"/>
    <xf numFmtId="0" fontId="3" fillId="3" borderId="25" xfId="0" applyFont="1" applyFill="1" applyBorder="1"/>
    <xf numFmtId="0" fontId="3" fillId="3" borderId="48" xfId="0" applyFont="1" applyFill="1" applyBorder="1"/>
    <xf numFmtId="0" fontId="2" fillId="3" borderId="48" xfId="0" applyFont="1" applyFill="1" applyBorder="1" applyAlignment="1">
      <alignment wrapText="1"/>
    </xf>
    <xf numFmtId="0" fontId="0" fillId="3" borderId="36" xfId="0" applyFill="1" applyBorder="1"/>
    <xf numFmtId="0" fontId="0" fillId="3" borderId="31" xfId="0" applyFill="1" applyBorder="1"/>
    <xf numFmtId="0" fontId="0" fillId="3" borderId="46" xfId="0" applyFill="1" applyBorder="1"/>
    <xf numFmtId="0" fontId="3" fillId="2" borderId="41" xfId="0" applyFont="1" applyFill="1" applyBorder="1" applyAlignment="1" applyProtection="1">
      <alignment horizontal="center"/>
      <protection locked="0"/>
    </xf>
    <xf numFmtId="0" fontId="0" fillId="0" borderId="0" xfId="0" applyAlignment="1">
      <alignment horizontal="center" vertical="center" wrapText="1"/>
    </xf>
    <xf numFmtId="0" fontId="2" fillId="2" borderId="1" xfId="0" applyFont="1" applyFill="1" applyBorder="1" applyProtection="1">
      <protection locked="0"/>
    </xf>
    <xf numFmtId="0" fontId="0" fillId="0" borderId="0" xfId="0" applyProtection="1">
      <protection locked="0"/>
    </xf>
    <xf numFmtId="0" fontId="3" fillId="0" borderId="24" xfId="0" applyFont="1" applyBorder="1" applyAlignment="1" applyProtection="1">
      <alignment horizontal="left" vertical="center" wrapText="1"/>
      <protection locked="0"/>
    </xf>
    <xf numFmtId="0" fontId="3" fillId="0" borderId="37" xfId="0" applyFont="1" applyBorder="1" applyAlignment="1" applyProtection="1">
      <alignment wrapText="1"/>
      <protection locked="0"/>
    </xf>
    <xf numFmtId="0" fontId="3" fillId="0" borderId="37" xfId="0" applyFont="1" applyFill="1" applyBorder="1" applyAlignment="1" applyProtection="1">
      <alignment wrapText="1"/>
      <protection locked="0"/>
    </xf>
    <xf numFmtId="0" fontId="4" fillId="0" borderId="37" xfId="0" applyFont="1" applyFill="1" applyBorder="1" applyAlignment="1" applyProtection="1">
      <alignment wrapText="1"/>
      <protection locked="0"/>
    </xf>
    <xf numFmtId="0" fontId="3" fillId="0" borderId="40" xfId="0" applyFont="1" applyFill="1" applyBorder="1" applyAlignment="1" applyProtection="1">
      <alignment wrapText="1"/>
      <protection locked="0"/>
    </xf>
    <xf numFmtId="0" fontId="3" fillId="0" borderId="7" xfId="0" applyFont="1" applyBorder="1" applyAlignment="1" applyProtection="1">
      <alignment horizontal="center" vertical="center"/>
      <protection locked="0"/>
    </xf>
    <xf numFmtId="0" fontId="3" fillId="3" borderId="41" xfId="0" applyFont="1" applyFill="1" applyBorder="1" applyProtection="1">
      <protection locked="0"/>
    </xf>
    <xf numFmtId="0" fontId="0" fillId="3" borderId="55" xfId="0" applyFill="1" applyBorder="1" applyProtection="1">
      <protection locked="0"/>
    </xf>
    <xf numFmtId="0" fontId="3" fillId="3" borderId="55" xfId="0" applyFont="1" applyFill="1" applyBorder="1" applyProtection="1">
      <protection locked="0"/>
    </xf>
    <xf numFmtId="0" fontId="2" fillId="3" borderId="55" xfId="0" applyFont="1" applyFill="1" applyBorder="1" applyAlignment="1" applyProtection="1">
      <alignment wrapText="1"/>
      <protection locked="0"/>
    </xf>
    <xf numFmtId="0" fontId="0" fillId="3" borderId="18" xfId="0" applyFill="1" applyBorder="1" applyProtection="1">
      <protection locked="0"/>
    </xf>
    <xf numFmtId="0" fontId="2" fillId="0" borderId="20" xfId="0" applyFont="1" applyBorder="1" applyProtection="1">
      <protection locked="0"/>
    </xf>
    <xf numFmtId="0" fontId="2" fillId="0" borderId="1" xfId="0" applyFont="1" applyBorder="1" applyProtection="1">
      <protection locked="0"/>
    </xf>
    <xf numFmtId="0" fontId="2" fillId="0" borderId="1" xfId="0" applyFont="1" applyBorder="1" applyAlignment="1" applyProtection="1">
      <alignment vertical="center"/>
      <protection locked="0"/>
    </xf>
    <xf numFmtId="0" fontId="6" fillId="0" borderId="1" xfId="0" applyFont="1" applyBorder="1" applyAlignment="1" applyProtection="1">
      <alignment horizontal="left" wrapText="1"/>
      <protection locked="0"/>
    </xf>
    <xf numFmtId="0" fontId="2" fillId="0" borderId="0" xfId="0" applyFont="1" applyProtection="1">
      <protection locked="0"/>
    </xf>
    <xf numFmtId="0" fontId="0" fillId="3" borderId="36" xfId="0" applyFill="1" applyBorder="1" applyProtection="1">
      <protection locked="0"/>
    </xf>
    <xf numFmtId="0" fontId="0" fillId="3" borderId="31" xfId="0" applyFill="1" applyBorder="1" applyProtection="1">
      <protection locked="0"/>
    </xf>
    <xf numFmtId="0" fontId="0" fillId="3" borderId="39" xfId="0" applyFill="1" applyBorder="1" applyProtection="1">
      <protection locked="0"/>
    </xf>
    <xf numFmtId="0" fontId="3" fillId="0" borderId="35" xfId="0" applyFont="1" applyBorder="1" applyProtection="1">
      <protection locked="0"/>
    </xf>
    <xf numFmtId="0" fontId="3" fillId="0" borderId="18" xfId="0" applyFont="1" applyBorder="1" applyAlignment="1" applyProtection="1">
      <alignment wrapText="1"/>
      <protection locked="0"/>
    </xf>
    <xf numFmtId="0" fontId="2" fillId="0" borderId="22" xfId="0" applyFont="1" applyBorder="1" applyProtection="1">
      <protection locked="0"/>
    </xf>
    <xf numFmtId="0" fontId="2" fillId="0" borderId="20" xfId="0" applyFont="1" applyBorder="1" applyAlignment="1" applyProtection="1">
      <alignment wrapText="1"/>
      <protection locked="0"/>
    </xf>
    <xf numFmtId="0" fontId="2" fillId="0" borderId="10" xfId="0" applyFont="1" applyBorder="1" applyAlignment="1" applyProtection="1">
      <alignment vertical="center" wrapText="1"/>
      <protection locked="0"/>
    </xf>
    <xf numFmtId="0" fontId="0" fillId="0" borderId="0" xfId="0" applyAlignment="1" applyProtection="1">
      <alignment horizontal="center" vertical="center" textRotation="90"/>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0" fillId="0" borderId="0" xfId="0" applyBorder="1" applyProtection="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wrapText="1"/>
      <protection locked="0"/>
    </xf>
    <xf numFmtId="0" fontId="3" fillId="0" borderId="24" xfId="0" applyFont="1" applyBorder="1" applyAlignment="1" applyProtection="1">
      <alignment wrapText="1"/>
      <protection locked="0"/>
    </xf>
    <xf numFmtId="0" fontId="3" fillId="0" borderId="40" xfId="0" applyFont="1" applyBorder="1" applyAlignment="1" applyProtection="1">
      <alignment horizontal="right" wrapText="1"/>
      <protection locked="0"/>
    </xf>
    <xf numFmtId="0" fontId="0" fillId="0" borderId="0" xfId="0" applyAlignment="1" applyProtection="1">
      <alignment vertical="center" textRotation="90"/>
      <protection locked="0"/>
    </xf>
    <xf numFmtId="0" fontId="0" fillId="0" borderId="0" xfId="0" applyAlignment="1" applyProtection="1">
      <alignment vertical="center" wrapText="1"/>
      <protection locked="0"/>
    </xf>
    <xf numFmtId="0" fontId="1" fillId="0" borderId="8" xfId="0" applyFont="1" applyBorder="1" applyAlignment="1" applyProtection="1">
      <alignment horizontal="right"/>
      <protection locked="0"/>
    </xf>
    <xf numFmtId="0" fontId="1" fillId="0" borderId="6" xfId="0" applyFont="1" applyBorder="1" applyAlignment="1" applyProtection="1">
      <alignment horizontal="right"/>
      <protection locked="0"/>
    </xf>
    <xf numFmtId="0" fontId="5" fillId="0" borderId="36" xfId="0" applyFont="1" applyBorder="1" applyAlignment="1" applyProtection="1">
      <protection locked="0"/>
    </xf>
    <xf numFmtId="0" fontId="5" fillId="0" borderId="31" xfId="0" applyFont="1" applyBorder="1" applyAlignment="1" applyProtection="1">
      <protection locked="0"/>
    </xf>
    <xf numFmtId="0" fontId="6" fillId="0" borderId="0" xfId="0" applyFont="1" applyFill="1" applyBorder="1" applyAlignment="1" applyProtection="1">
      <alignment vertical="center"/>
      <protection locked="0"/>
    </xf>
    <xf numFmtId="164" fontId="2" fillId="0" borderId="20" xfId="0" applyNumberFormat="1" applyFont="1" applyBorder="1" applyAlignment="1" applyProtection="1">
      <alignment wrapText="1"/>
    </xf>
    <xf numFmtId="164" fontId="0" fillId="0" borderId="23" xfId="0" applyNumberFormat="1" applyBorder="1" applyProtection="1"/>
    <xf numFmtId="164" fontId="2" fillId="0" borderId="1" xfId="0" applyNumberFormat="1" applyFont="1" applyBorder="1" applyAlignment="1" applyProtection="1">
      <alignment wrapText="1"/>
    </xf>
    <xf numFmtId="164" fontId="0" fillId="0" borderId="17" xfId="0" applyNumberFormat="1" applyBorder="1" applyProtection="1"/>
    <xf numFmtId="164" fontId="2" fillId="0" borderId="1" xfId="0" applyNumberFormat="1" applyFont="1" applyBorder="1" applyAlignment="1" applyProtection="1">
      <alignment vertical="center" wrapText="1"/>
    </xf>
    <xf numFmtId="164" fontId="0" fillId="0" borderId="17" xfId="0" applyNumberFormat="1" applyBorder="1" applyAlignment="1" applyProtection="1">
      <alignment vertical="center"/>
    </xf>
    <xf numFmtId="0" fontId="0" fillId="0" borderId="1" xfId="0" applyBorder="1" applyProtection="1"/>
    <xf numFmtId="164" fontId="1" fillId="0" borderId="13" xfId="0" applyNumberFormat="1" applyFont="1" applyBorder="1" applyProtection="1"/>
    <xf numFmtId="164" fontId="1" fillId="0" borderId="14" xfId="0" applyNumberFormat="1" applyFont="1" applyBorder="1" applyProtection="1"/>
    <xf numFmtId="164" fontId="0" fillId="0" borderId="1" xfId="0" applyNumberFormat="1" applyBorder="1" applyProtection="1"/>
    <xf numFmtId="164" fontId="0" fillId="0" borderId="6" xfId="0" applyNumberFormat="1" applyBorder="1" applyProtection="1"/>
    <xf numFmtId="164" fontId="0" fillId="0" borderId="11" xfId="0" applyNumberFormat="1" applyBorder="1" applyProtection="1"/>
    <xf numFmtId="164" fontId="0" fillId="0" borderId="8" xfId="0" applyNumberFormat="1" applyBorder="1" applyProtection="1"/>
    <xf numFmtId="164" fontId="0" fillId="0" borderId="9" xfId="0" applyNumberFormat="1" applyBorder="1" applyProtection="1"/>
    <xf numFmtId="164" fontId="0" fillId="0" borderId="39" xfId="0" applyNumberFormat="1" applyBorder="1" applyAlignment="1" applyProtection="1">
      <alignment horizontal="right"/>
    </xf>
    <xf numFmtId="0" fontId="0" fillId="0" borderId="0" xfId="0" applyAlignment="1">
      <alignment horizontal="center" wrapText="1"/>
    </xf>
    <xf numFmtId="0" fontId="0" fillId="0" borderId="34" xfId="0" applyBorder="1" applyAlignment="1" applyProtection="1">
      <alignment horizontal="center" vertical="center" textRotation="90"/>
      <protection locked="0"/>
    </xf>
    <xf numFmtId="0" fontId="0" fillId="0" borderId="4" xfId="0" applyBorder="1" applyAlignment="1" applyProtection="1">
      <alignment horizontal="center" vertical="center" textRotation="90"/>
      <protection locked="0"/>
    </xf>
    <xf numFmtId="0" fontId="0" fillId="0" borderId="25" xfId="0" applyBorder="1" applyAlignment="1" applyProtection="1">
      <alignment horizontal="center" vertical="center" textRotation="90"/>
      <protection locked="0"/>
    </xf>
    <xf numFmtId="0" fontId="3" fillId="0" borderId="12"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3" fillId="0" borderId="19" xfId="0" applyFont="1" applyBorder="1" applyAlignment="1" applyProtection="1">
      <alignment horizontal="center" vertical="center"/>
      <protection locked="0"/>
    </xf>
    <xf numFmtId="0" fontId="3" fillId="0" borderId="19" xfId="0" applyFont="1" applyBorder="1" applyAlignment="1" applyProtection="1">
      <alignment horizontal="center" vertical="center" wrapText="1"/>
      <protection locked="0"/>
    </xf>
    <xf numFmtId="0" fontId="6" fillId="0" borderId="1" xfId="0" applyFont="1" applyBorder="1" applyAlignment="1" applyProtection="1">
      <alignment horizontal="left" wrapText="1"/>
      <protection locked="0"/>
    </xf>
    <xf numFmtId="0" fontId="6" fillId="0" borderId="17" xfId="0" applyFont="1" applyBorder="1" applyAlignment="1" applyProtection="1">
      <alignment horizontal="left"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6" fillId="0" borderId="6"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0" fillId="0" borderId="21" xfId="0" applyBorder="1" applyAlignment="1" applyProtection="1">
      <alignment horizontal="center" vertical="center" textRotation="90"/>
      <protection locked="0"/>
    </xf>
    <xf numFmtId="0" fontId="0" fillId="0" borderId="29" xfId="0" applyBorder="1" applyAlignment="1" applyProtection="1">
      <alignment horizontal="center" vertical="center" textRotation="90"/>
      <protection locked="0"/>
    </xf>
    <xf numFmtId="0" fontId="0" fillId="0" borderId="23" xfId="0" applyBorder="1" applyAlignment="1" applyProtection="1">
      <alignment horizontal="center" vertical="center" textRotation="90"/>
      <protection locked="0"/>
    </xf>
    <xf numFmtId="0" fontId="3" fillId="0" borderId="1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0" xfId="0" applyFont="1" applyBorder="1" applyAlignment="1" applyProtection="1">
      <alignment horizontal="center" wrapText="1"/>
      <protection locked="0"/>
    </xf>
    <xf numFmtId="0" fontId="2" fillId="0" borderId="27"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28" xfId="0" applyFont="1" applyBorder="1" applyAlignment="1" applyProtection="1">
      <alignment horizontal="center" wrapText="1"/>
      <protection locked="0"/>
    </xf>
    <xf numFmtId="0" fontId="2" fillId="0" borderId="26"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0" fontId="2" fillId="0" borderId="16" xfId="0" applyFont="1" applyBorder="1" applyAlignment="1" applyProtection="1">
      <alignment horizontal="center" wrapText="1"/>
      <protection locked="0"/>
    </xf>
    <xf numFmtId="0" fontId="2" fillId="0" borderId="38" xfId="0" applyFont="1" applyBorder="1" applyAlignment="1" applyProtection="1">
      <alignment horizontal="center" wrapText="1"/>
      <protection locked="0"/>
    </xf>
    <xf numFmtId="0" fontId="0" fillId="0" borderId="21" xfId="0" applyBorder="1" applyAlignment="1">
      <alignment horizontal="center" vertical="center" textRotation="90"/>
    </xf>
    <xf numFmtId="0" fontId="0" fillId="0" borderId="29" xfId="0" applyBorder="1" applyAlignment="1">
      <alignment horizontal="center" vertical="center" textRotation="90"/>
    </xf>
    <xf numFmtId="0" fontId="0" fillId="0" borderId="23" xfId="0" applyBorder="1" applyAlignment="1">
      <alignment horizontal="center" vertical="center" textRotation="90"/>
    </xf>
    <xf numFmtId="0" fontId="3" fillId="0" borderId="19" xfId="0" applyFont="1" applyBorder="1" applyAlignment="1">
      <alignment horizontal="center" vertical="center"/>
    </xf>
    <xf numFmtId="0" fontId="6" fillId="0" borderId="1" xfId="0" applyFont="1" applyBorder="1" applyAlignment="1">
      <alignment horizontal="left" wrapText="1"/>
    </xf>
    <xf numFmtId="0" fontId="6" fillId="0" borderId="17" xfId="0" applyFont="1" applyBorder="1" applyAlignment="1">
      <alignment horizontal="left" wrapText="1"/>
    </xf>
    <xf numFmtId="0" fontId="3"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6" xfId="0" applyFont="1" applyBorder="1" applyAlignment="1">
      <alignment horizontal="left" wrapText="1"/>
    </xf>
    <xf numFmtId="0" fontId="6" fillId="0" borderId="11" xfId="0" applyFont="1" applyBorder="1" applyAlignment="1">
      <alignment horizontal="left" wrapText="1"/>
    </xf>
    <xf numFmtId="0" fontId="3" fillId="0" borderId="12" xfId="0" applyFont="1" applyFill="1" applyBorder="1" applyAlignment="1">
      <alignment horizontal="left" wrapText="1"/>
    </xf>
    <xf numFmtId="0" fontId="3" fillId="0" borderId="13" xfId="0" applyFont="1" applyFill="1" applyBorder="1" applyAlignment="1">
      <alignment horizontal="left" wrapText="1"/>
    </xf>
    <xf numFmtId="0" fontId="2" fillId="0" borderId="36" xfId="0" applyFont="1" applyBorder="1" applyAlignment="1">
      <alignment horizontal="center" vertical="center" wrapText="1"/>
    </xf>
    <xf numFmtId="0" fontId="2" fillId="0" borderId="42" xfId="0" applyFont="1" applyBorder="1" applyAlignment="1">
      <alignment horizontal="center" vertical="center" wrapText="1"/>
    </xf>
    <xf numFmtId="0" fontId="0" fillId="0" borderId="38" xfId="0" applyBorder="1" applyAlignment="1">
      <alignment horizontal="center" vertical="center" textRotation="90"/>
    </xf>
    <xf numFmtId="0" fontId="0" fillId="0" borderId="44" xfId="0" applyBorder="1" applyAlignment="1">
      <alignment horizontal="center" vertical="center" textRotation="90"/>
    </xf>
    <xf numFmtId="0" fontId="0" fillId="0" borderId="12" xfId="0" applyBorder="1" applyAlignment="1">
      <alignment horizontal="center" vertical="center" textRotation="90"/>
    </xf>
    <xf numFmtId="0" fontId="2" fillId="0" borderId="38" xfId="0" applyFont="1" applyBorder="1" applyAlignment="1">
      <alignment horizontal="center" wrapText="1"/>
    </xf>
    <xf numFmtId="0" fontId="2" fillId="0" borderId="16" xfId="0" applyFont="1" applyBorder="1" applyAlignment="1">
      <alignment horizontal="center" wrapText="1"/>
    </xf>
    <xf numFmtId="0" fontId="2" fillId="0" borderId="26" xfId="0" applyFont="1" applyBorder="1" applyAlignment="1">
      <alignment horizontal="center" wrapText="1"/>
    </xf>
    <xf numFmtId="0" fontId="2" fillId="0" borderId="15" xfId="0" applyFont="1" applyBorder="1" applyAlignment="1">
      <alignment horizontal="center" wrapText="1"/>
    </xf>
    <xf numFmtId="0" fontId="2" fillId="0" borderId="27" xfId="0" applyFont="1" applyBorder="1" applyAlignment="1">
      <alignment horizontal="center" wrapText="1"/>
    </xf>
    <xf numFmtId="0" fontId="2" fillId="0" borderId="13" xfId="0" applyFont="1" applyBorder="1" applyAlignment="1">
      <alignment horizontal="center" wrapText="1"/>
    </xf>
    <xf numFmtId="0" fontId="2" fillId="0" borderId="28" xfId="0" applyFont="1" applyBorder="1" applyAlignment="1">
      <alignment horizontal="center" wrapText="1"/>
    </xf>
    <xf numFmtId="0" fontId="2" fillId="0" borderId="12" xfId="0" applyFont="1" applyBorder="1" applyAlignment="1">
      <alignment horizontal="left"/>
    </xf>
    <xf numFmtId="0" fontId="2" fillId="0" borderId="28" xfId="0" applyFont="1" applyBorder="1" applyAlignment="1">
      <alignment horizontal="left"/>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wrapText="1"/>
    </xf>
    <xf numFmtId="0" fontId="0" fillId="0" borderId="49" xfId="0" applyBorder="1" applyAlignment="1">
      <alignment horizontal="center" vertical="center" textRotation="90"/>
    </xf>
    <xf numFmtId="0" fontId="0" fillId="0" borderId="50" xfId="0" applyBorder="1" applyAlignment="1">
      <alignment horizontal="center" vertical="center" textRotation="90"/>
    </xf>
    <xf numFmtId="0" fontId="0" fillId="0" borderId="51" xfId="0" applyBorder="1" applyAlignment="1">
      <alignment horizontal="center" vertical="center" textRotation="90"/>
    </xf>
    <xf numFmtId="0" fontId="2" fillId="0" borderId="42" xfId="0" applyFont="1" applyBorder="1" applyAlignment="1">
      <alignment horizontal="center" wrapText="1"/>
    </xf>
    <xf numFmtId="0" fontId="2" fillId="0" borderId="33" xfId="0" applyFont="1" applyBorder="1" applyAlignment="1">
      <alignment horizontal="center" wrapText="1"/>
    </xf>
    <xf numFmtId="0" fontId="2" fillId="0" borderId="1" xfId="0" applyFont="1" applyBorder="1" applyAlignment="1">
      <alignment horizontal="center" wrapText="1"/>
    </xf>
    <xf numFmtId="0" fontId="2" fillId="0" borderId="6" xfId="0" applyFont="1" applyBorder="1" applyAlignment="1">
      <alignment horizontal="center" wrapText="1"/>
    </xf>
    <xf numFmtId="0" fontId="0" fillId="0" borderId="52" xfId="0" applyBorder="1" applyAlignment="1">
      <alignment horizontal="center" vertical="center" textRotation="90"/>
    </xf>
    <xf numFmtId="0" fontId="0" fillId="0" borderId="53" xfId="0" applyBorder="1" applyAlignment="1">
      <alignment horizontal="center" vertical="center" textRotation="90"/>
    </xf>
    <xf numFmtId="0" fontId="0" fillId="0" borderId="54" xfId="0" applyBorder="1" applyAlignment="1">
      <alignment horizontal="center" vertical="center" textRotation="90"/>
    </xf>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CFE98-DBFE-4A3C-8FFC-7BAC9450A14C}">
  <dimension ref="A2:A45"/>
  <sheetViews>
    <sheetView view="pageLayout" topLeftCell="A28" zoomScaleNormal="100" workbookViewId="0">
      <selection activeCell="A27" sqref="A27"/>
    </sheetView>
  </sheetViews>
  <sheetFormatPr defaultRowHeight="14.4" x14ac:dyDescent="0.3"/>
  <cols>
    <col min="1" max="1" width="90.44140625" customWidth="1"/>
  </cols>
  <sheetData>
    <row r="2" spans="1:1" ht="28.8" x14ac:dyDescent="0.3">
      <c r="A2" s="42" t="s">
        <v>49</v>
      </c>
    </row>
    <row r="4" spans="1:1" x14ac:dyDescent="0.3">
      <c r="A4" s="49" t="s">
        <v>38</v>
      </c>
    </row>
    <row r="6" spans="1:1" ht="110.25" customHeight="1" x14ac:dyDescent="0.3">
      <c r="A6" s="50" t="s">
        <v>50</v>
      </c>
    </row>
    <row r="7" spans="1:1" x14ac:dyDescent="0.3">
      <c r="A7" s="41"/>
    </row>
    <row r="8" spans="1:1" ht="28.8" x14ac:dyDescent="0.3">
      <c r="A8" s="50" t="s">
        <v>43</v>
      </c>
    </row>
    <row r="9" spans="1:1" x14ac:dyDescent="0.3">
      <c r="A9" s="41"/>
    </row>
    <row r="10" spans="1:1" ht="57.6" x14ac:dyDescent="0.3">
      <c r="A10" s="86" t="s">
        <v>44</v>
      </c>
    </row>
    <row r="11" spans="1:1" x14ac:dyDescent="0.3">
      <c r="A11" s="42"/>
    </row>
    <row r="12" spans="1:1" ht="72" x14ac:dyDescent="0.3">
      <c r="A12" s="50" t="s">
        <v>51</v>
      </c>
    </row>
    <row r="14" spans="1:1" ht="15" customHeight="1" x14ac:dyDescent="0.3">
      <c r="A14" s="144" t="s">
        <v>52</v>
      </c>
    </row>
    <row r="15" spans="1:1" x14ac:dyDescent="0.3">
      <c r="A15" s="144"/>
    </row>
    <row r="16" spans="1:1" x14ac:dyDescent="0.3">
      <c r="A16" s="144"/>
    </row>
    <row r="22" spans="1:1" x14ac:dyDescent="0.3">
      <c r="A22" s="42"/>
    </row>
    <row r="24" spans="1:1" ht="15" customHeight="1" x14ac:dyDescent="0.3"/>
    <row r="25" spans="1:1" x14ac:dyDescent="0.3">
      <c r="A25" s="41"/>
    </row>
    <row r="26" spans="1:1" x14ac:dyDescent="0.3">
      <c r="A26" s="41"/>
    </row>
    <row r="27" spans="1:1" x14ac:dyDescent="0.3">
      <c r="A27" s="41"/>
    </row>
    <row r="28" spans="1:1" ht="15" customHeight="1" x14ac:dyDescent="0.3">
      <c r="A28" s="41"/>
    </row>
    <row r="29" spans="1:1" x14ac:dyDescent="0.3">
      <c r="A29" s="41"/>
    </row>
    <row r="30" spans="1:1" x14ac:dyDescent="0.3">
      <c r="A30" s="41"/>
    </row>
    <row r="31" spans="1:1" x14ac:dyDescent="0.3">
      <c r="A31" s="41"/>
    </row>
    <row r="32" spans="1:1" x14ac:dyDescent="0.3">
      <c r="A32" s="41"/>
    </row>
    <row r="34" spans="1:1" x14ac:dyDescent="0.3">
      <c r="A34" s="41"/>
    </row>
    <row r="38" spans="1:1" ht="15" customHeight="1" x14ac:dyDescent="0.3"/>
    <row r="39" spans="1:1" x14ac:dyDescent="0.3">
      <c r="A39" s="41"/>
    </row>
    <row r="40" spans="1:1" x14ac:dyDescent="0.3">
      <c r="A40" s="41"/>
    </row>
    <row r="41" spans="1:1" x14ac:dyDescent="0.3">
      <c r="A41" s="41"/>
    </row>
    <row r="42" spans="1:1" x14ac:dyDescent="0.3">
      <c r="A42" s="41"/>
    </row>
    <row r="43" spans="1:1" x14ac:dyDescent="0.3">
      <c r="A43" s="41"/>
    </row>
    <row r="44" spans="1:1" x14ac:dyDescent="0.3">
      <c r="A44" s="41"/>
    </row>
    <row r="45" spans="1:1" x14ac:dyDescent="0.3">
      <c r="A45" s="41"/>
    </row>
  </sheetData>
  <mergeCells count="1">
    <mergeCell ref="A14:A16"/>
  </mergeCells>
  <pageMargins left="0.7" right="0.7" top="0.75" bottom="0.75" header="0.3" footer="0.3"/>
  <pageSetup orientation="portrait" r:id="rId1"/>
  <headerFooter>
    <oddHeader>&amp;CBrewster Board of Health
Nitrogen Loading Calculations Spreadsheet</oddHeader>
    <oddFooter>&amp;C&amp;"-,Bold"&amp;KFF0000
&amp;K000000Version 02/07/2022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A56DE-1B39-4DBC-BD45-2E8A79801FA5}">
  <dimension ref="A1:K28"/>
  <sheetViews>
    <sheetView view="pageLayout" topLeftCell="A17" zoomScaleNormal="100" workbookViewId="0">
      <selection activeCell="F21" sqref="F21"/>
    </sheetView>
  </sheetViews>
  <sheetFormatPr defaultColWidth="9.33203125" defaultRowHeight="14.4" x14ac:dyDescent="0.3"/>
  <cols>
    <col min="1" max="1" width="2.6640625" style="88" customWidth="1"/>
    <col min="2" max="2" width="17.44140625" style="88" customWidth="1"/>
    <col min="3" max="3" width="11.33203125" style="88" customWidth="1"/>
    <col min="4" max="4" width="19.33203125" style="88" customWidth="1"/>
    <col min="5" max="5" width="6.33203125" style="88" customWidth="1"/>
    <col min="6" max="6" width="13.33203125" style="88" bestFit="1" customWidth="1"/>
    <col min="7" max="7" width="10.33203125" style="88" bestFit="1" customWidth="1"/>
    <col min="8" max="8" width="11.6640625" style="88" customWidth="1"/>
    <col min="9" max="9" width="13" style="88" customWidth="1"/>
    <col min="10" max="10" width="12.33203125" style="88" customWidth="1"/>
    <col min="11" max="11" width="12.6640625" style="88" customWidth="1"/>
    <col min="12" max="16384" width="9.33203125" style="88"/>
  </cols>
  <sheetData>
    <row r="1" spans="1:11" ht="15.75" customHeight="1" thickBot="1" x14ac:dyDescent="0.35">
      <c r="B1" s="88" t="s">
        <v>32</v>
      </c>
    </row>
    <row r="2" spans="1:11" ht="30.45" customHeight="1" thickBot="1" x14ac:dyDescent="0.35">
      <c r="A2" s="158" t="s">
        <v>2</v>
      </c>
      <c r="B2" s="89" t="s">
        <v>4</v>
      </c>
      <c r="C2" s="90" t="s">
        <v>34</v>
      </c>
      <c r="D2" s="91" t="s">
        <v>5</v>
      </c>
      <c r="E2" s="92" t="s">
        <v>15</v>
      </c>
      <c r="F2" s="91" t="s">
        <v>31</v>
      </c>
      <c r="G2" s="92" t="s">
        <v>15</v>
      </c>
      <c r="H2" s="90" t="s">
        <v>17</v>
      </c>
      <c r="I2" s="93" t="s">
        <v>13</v>
      </c>
    </row>
    <row r="3" spans="1:11" ht="14.25" customHeight="1" x14ac:dyDescent="0.3">
      <c r="A3" s="159"/>
      <c r="B3" s="94" t="s">
        <v>10</v>
      </c>
      <c r="C3" s="85">
        <v>20000</v>
      </c>
      <c r="D3" s="95"/>
      <c r="E3" s="96"/>
      <c r="F3" s="97"/>
      <c r="G3" s="96"/>
      <c r="H3" s="98"/>
      <c r="I3" s="99"/>
    </row>
    <row r="4" spans="1:11" ht="14.25" customHeight="1" x14ac:dyDescent="0.3">
      <c r="A4" s="159"/>
      <c r="B4" s="150" t="s">
        <v>6</v>
      </c>
      <c r="C4" s="45">
        <v>2500</v>
      </c>
      <c r="D4" s="100">
        <v>0.75</v>
      </c>
      <c r="E4" s="100" t="s">
        <v>1</v>
      </c>
      <c r="F4" s="100">
        <v>40</v>
      </c>
      <c r="G4" s="100" t="s">
        <v>14</v>
      </c>
      <c r="H4" s="129">
        <f>C4*F4*(1/12)*(1/365)*28.3168</f>
        <v>646.5022831050228</v>
      </c>
      <c r="I4" s="130">
        <f>C4*D4*F4*(1/12)*28.3168*(1/365)</f>
        <v>484.87671232876716</v>
      </c>
    </row>
    <row r="5" spans="1:11" ht="15" customHeight="1" x14ac:dyDescent="0.3">
      <c r="A5" s="159"/>
      <c r="B5" s="150"/>
      <c r="C5" s="152" t="s">
        <v>3</v>
      </c>
      <c r="D5" s="152"/>
      <c r="E5" s="152"/>
      <c r="F5" s="152"/>
      <c r="G5" s="152"/>
      <c r="H5" s="152"/>
      <c r="I5" s="153"/>
    </row>
    <row r="6" spans="1:11" ht="14.25" customHeight="1" x14ac:dyDescent="0.3">
      <c r="A6" s="159"/>
      <c r="B6" s="151" t="s">
        <v>33</v>
      </c>
      <c r="C6" s="45">
        <v>2500</v>
      </c>
      <c r="D6" s="101">
        <v>1.5</v>
      </c>
      <c r="E6" s="101" t="s">
        <v>1</v>
      </c>
      <c r="F6" s="101">
        <v>40</v>
      </c>
      <c r="G6" s="101" t="s">
        <v>14</v>
      </c>
      <c r="H6" s="131">
        <f>C6*F6*(1/12)*(1/365)*28.3168</f>
        <v>646.5022831050228</v>
      </c>
      <c r="I6" s="132">
        <f>C6*D6*F6*(1/12)*28.3168*(1/365)</f>
        <v>969.75342465753431</v>
      </c>
    </row>
    <row r="7" spans="1:11" ht="28.95" customHeight="1" x14ac:dyDescent="0.3">
      <c r="A7" s="159"/>
      <c r="B7" s="151"/>
      <c r="C7" s="152" t="s">
        <v>29</v>
      </c>
      <c r="D7" s="152"/>
      <c r="E7" s="152"/>
      <c r="F7" s="152"/>
      <c r="G7" s="152"/>
      <c r="H7" s="152"/>
      <c r="I7" s="153"/>
    </row>
    <row r="8" spans="1:11" ht="28.95" customHeight="1" x14ac:dyDescent="0.3">
      <c r="A8" s="159"/>
      <c r="B8" s="150" t="s">
        <v>11</v>
      </c>
      <c r="C8" s="45">
        <v>1000</v>
      </c>
      <c r="D8" s="154" t="s">
        <v>7</v>
      </c>
      <c r="E8" s="155"/>
      <c r="F8" s="102">
        <v>17</v>
      </c>
      <c r="G8" s="102" t="s">
        <v>14</v>
      </c>
      <c r="H8" s="133">
        <f>C8*F8*(1/12)*(1/365)*28.3168</f>
        <v>109.90538812785387</v>
      </c>
      <c r="I8" s="134">
        <f>0.25*C8*3*454/365</f>
        <v>932.8767123287671</v>
      </c>
    </row>
    <row r="9" spans="1:11" ht="28.95" customHeight="1" x14ac:dyDescent="0.3">
      <c r="A9" s="159"/>
      <c r="B9" s="150"/>
      <c r="C9" s="152" t="s">
        <v>12</v>
      </c>
      <c r="D9" s="152"/>
      <c r="E9" s="152"/>
      <c r="F9" s="152"/>
      <c r="G9" s="152"/>
      <c r="H9" s="152"/>
      <c r="I9" s="153"/>
    </row>
    <row r="10" spans="1:11" ht="14.25" customHeight="1" x14ac:dyDescent="0.3">
      <c r="A10" s="159"/>
      <c r="B10" s="150" t="s">
        <v>30</v>
      </c>
      <c r="C10" s="45">
        <v>0</v>
      </c>
      <c r="D10" s="45">
        <v>0</v>
      </c>
      <c r="E10" s="103" t="s">
        <v>1</v>
      </c>
      <c r="F10" s="87">
        <v>17</v>
      </c>
      <c r="G10" s="101" t="s">
        <v>14</v>
      </c>
      <c r="H10" s="131">
        <f>C10*F10*(1/12)*(1/365)*28.3168</f>
        <v>0</v>
      </c>
      <c r="I10" s="132">
        <f>C10*D10*F10*(1/12)*28.3168*(1/365)</f>
        <v>0</v>
      </c>
    </row>
    <row r="11" spans="1:11" ht="14.25" customHeight="1" x14ac:dyDescent="0.3">
      <c r="A11" s="159"/>
      <c r="B11" s="150"/>
      <c r="C11" s="152" t="s">
        <v>45</v>
      </c>
      <c r="D11" s="152"/>
      <c r="E11" s="152"/>
      <c r="F11" s="152"/>
      <c r="G11" s="152"/>
      <c r="H11" s="152"/>
      <c r="I11" s="153"/>
    </row>
    <row r="12" spans="1:11" ht="14.25" customHeight="1" x14ac:dyDescent="0.3">
      <c r="A12" s="159"/>
      <c r="B12" s="151" t="s">
        <v>8</v>
      </c>
      <c r="C12" s="135">
        <f>C3-C4-C6-C8-C10</f>
        <v>14000</v>
      </c>
      <c r="D12" s="101">
        <v>0.05</v>
      </c>
      <c r="E12" s="101" t="s">
        <v>1</v>
      </c>
      <c r="F12" s="101">
        <v>17</v>
      </c>
      <c r="G12" s="101" t="s">
        <v>14</v>
      </c>
      <c r="H12" s="131">
        <f>C12*F12*(1/12)*(1/365)*28.3168</f>
        <v>1538.6754337899545</v>
      </c>
      <c r="I12" s="132">
        <f>C12*D12*F12*(1/12)*28.3168*(1/365)</f>
        <v>76.933771689497718</v>
      </c>
    </row>
    <row r="13" spans="1:11" ht="14.25" customHeight="1" thickBot="1" x14ac:dyDescent="0.35">
      <c r="A13" s="160"/>
      <c r="B13" s="161"/>
      <c r="C13" s="156" t="s">
        <v>9</v>
      </c>
      <c r="D13" s="156"/>
      <c r="E13" s="156"/>
      <c r="F13" s="156"/>
      <c r="G13" s="156"/>
      <c r="H13" s="156"/>
      <c r="I13" s="157"/>
    </row>
    <row r="14" spans="1:11" ht="14.25" customHeight="1" thickBot="1" x14ac:dyDescent="0.35">
      <c r="A14" s="104"/>
      <c r="F14" s="148" t="s">
        <v>16</v>
      </c>
      <c r="G14" s="149"/>
      <c r="H14" s="136">
        <f>SUM(H4:H12)</f>
        <v>2941.585388127854</v>
      </c>
      <c r="I14" s="137">
        <f>SUM(I4:I12)</f>
        <v>2464.4406210045663</v>
      </c>
    </row>
    <row r="15" spans="1:11" ht="7.35" customHeight="1" thickBot="1" x14ac:dyDescent="0.35"/>
    <row r="16" spans="1:11" ht="43.35" customHeight="1" thickBot="1" x14ac:dyDescent="0.35">
      <c r="A16" s="145" t="s">
        <v>18</v>
      </c>
      <c r="B16" s="173" t="s">
        <v>19</v>
      </c>
      <c r="C16" s="172"/>
      <c r="D16" s="46" t="s">
        <v>53</v>
      </c>
      <c r="E16" s="170" t="s">
        <v>35</v>
      </c>
      <c r="F16" s="171"/>
      <c r="G16" s="171"/>
      <c r="H16" s="171"/>
      <c r="I16" s="171"/>
      <c r="J16" s="172"/>
      <c r="K16" s="48"/>
    </row>
    <row r="17" spans="1:11" ht="28.95" customHeight="1" thickBot="1" x14ac:dyDescent="0.35">
      <c r="A17" s="146"/>
      <c r="B17" s="105"/>
      <c r="C17" s="106"/>
      <c r="D17" s="106"/>
      <c r="E17" s="106"/>
      <c r="F17" s="106"/>
      <c r="G17" s="106"/>
      <c r="H17" s="106"/>
      <c r="I17" s="107"/>
      <c r="J17" s="108" t="s">
        <v>17</v>
      </c>
      <c r="K17" s="109" t="s">
        <v>13</v>
      </c>
    </row>
    <row r="18" spans="1:11" ht="28.95" customHeight="1" x14ac:dyDescent="0.3">
      <c r="A18" s="146"/>
      <c r="B18" s="110" t="s">
        <v>0</v>
      </c>
      <c r="C18" s="111" t="s">
        <v>20</v>
      </c>
      <c r="D18" s="47">
        <v>5</v>
      </c>
      <c r="E18" s="166" t="s">
        <v>21</v>
      </c>
      <c r="F18" s="166"/>
      <c r="G18" s="166"/>
      <c r="H18" s="166"/>
      <c r="I18" s="166"/>
      <c r="J18" s="138">
        <f>D18*110*3.785</f>
        <v>2081.75</v>
      </c>
      <c r="K18" s="132">
        <f>IF(D16="Yes",K16*J18,J18*35)</f>
        <v>72861.25</v>
      </c>
    </row>
    <row r="19" spans="1:11" ht="30.45" customHeight="1" thickBot="1" x14ac:dyDescent="0.35">
      <c r="A19" s="147"/>
      <c r="B19" s="112" t="s">
        <v>22</v>
      </c>
      <c r="C19" s="167" t="s">
        <v>23</v>
      </c>
      <c r="D19" s="168"/>
      <c r="E19" s="168"/>
      <c r="F19" s="168"/>
      <c r="G19" s="168"/>
      <c r="H19" s="168"/>
      <c r="I19" s="169"/>
      <c r="J19" s="139">
        <f>2.3*55*3.785</f>
        <v>478.80249999999995</v>
      </c>
      <c r="K19" s="140">
        <f>IF(D16="Yes",K16*J19,J19*35)</f>
        <v>16758.087499999998</v>
      </c>
    </row>
    <row r="20" spans="1:11" ht="7.35" customHeight="1" thickBot="1" x14ac:dyDescent="0.35">
      <c r="A20" s="113"/>
      <c r="B20" s="114"/>
      <c r="C20" s="115"/>
      <c r="D20" s="115"/>
      <c r="E20" s="115"/>
      <c r="F20" s="115"/>
      <c r="G20" s="115"/>
      <c r="H20" s="115"/>
      <c r="I20" s="116"/>
      <c r="J20" s="117"/>
      <c r="K20" s="117"/>
    </row>
    <row r="21" spans="1:11" ht="28.95" customHeight="1" thickBot="1" x14ac:dyDescent="0.35">
      <c r="A21" s="113"/>
      <c r="B21" s="118"/>
      <c r="C21" s="118"/>
      <c r="D21" s="119"/>
      <c r="E21" s="119"/>
      <c r="G21" s="119"/>
      <c r="H21" s="119"/>
      <c r="I21" s="120" t="s">
        <v>17</v>
      </c>
      <c r="J21" s="90" t="s">
        <v>13</v>
      </c>
      <c r="K21" s="121" t="s">
        <v>27</v>
      </c>
    </row>
    <row r="22" spans="1:11" ht="25.5" customHeight="1" x14ac:dyDescent="0.3">
      <c r="A22" s="122"/>
      <c r="C22" s="123"/>
      <c r="D22" s="123"/>
      <c r="E22" s="123"/>
      <c r="F22" s="162" t="s">
        <v>24</v>
      </c>
      <c r="G22" s="163"/>
      <c r="H22" s="124" t="s">
        <v>25</v>
      </c>
      <c r="I22" s="141">
        <f>J18+H14</f>
        <v>5023.3353881278545</v>
      </c>
      <c r="J22" s="141">
        <f>K18+I14</f>
        <v>75325.690621004571</v>
      </c>
      <c r="K22" s="142">
        <f>J22/I22</f>
        <v>14.995154573797567</v>
      </c>
    </row>
    <row r="23" spans="1:11" ht="15" customHeight="1" thickBot="1" x14ac:dyDescent="0.35">
      <c r="C23" s="123"/>
      <c r="D23" s="123"/>
      <c r="E23" s="123"/>
      <c r="F23" s="164"/>
      <c r="G23" s="165"/>
      <c r="H23" s="125" t="s">
        <v>26</v>
      </c>
      <c r="I23" s="139">
        <f>J19+H14</f>
        <v>3420.3878881278538</v>
      </c>
      <c r="J23" s="139">
        <f>K19+I14</f>
        <v>19222.528121004565</v>
      </c>
      <c r="K23" s="140">
        <f>J23/I23</f>
        <v>5.6199848525150751</v>
      </c>
    </row>
    <row r="24" spans="1:11" ht="15" thickBot="1" x14ac:dyDescent="0.35">
      <c r="C24" s="123"/>
      <c r="D24" s="123"/>
      <c r="E24" s="123"/>
      <c r="I24" s="126" t="s">
        <v>28</v>
      </c>
      <c r="J24" s="127"/>
      <c r="K24" s="143" t="str">
        <f>TEXT(AVERAGE(K22:K23),"0.00")&amp;" ppm"</f>
        <v>10.31 ppm</v>
      </c>
    </row>
    <row r="25" spans="1:11" x14ac:dyDescent="0.3">
      <c r="B25" s="128"/>
      <c r="C25" s="128"/>
      <c r="D25" s="128"/>
      <c r="E25" s="128"/>
      <c r="F25" s="128"/>
      <c r="G25" s="128"/>
      <c r="H25" s="128"/>
      <c r="I25" s="128"/>
      <c r="J25" s="128"/>
    </row>
    <row r="26" spans="1:11" ht="15" customHeight="1" x14ac:dyDescent="0.3">
      <c r="A26" s="122"/>
      <c r="B26" s="128"/>
      <c r="C26" s="128"/>
      <c r="D26" s="128"/>
      <c r="E26" s="128"/>
      <c r="F26" s="128"/>
      <c r="G26" s="128"/>
      <c r="H26" s="128"/>
      <c r="I26" s="128"/>
      <c r="J26" s="128"/>
    </row>
    <row r="27" spans="1:11" x14ac:dyDescent="0.3">
      <c r="A27" s="122"/>
    </row>
    <row r="28" spans="1:11" x14ac:dyDescent="0.3">
      <c r="A28" s="122"/>
    </row>
  </sheetData>
  <sheetProtection algorithmName="SHA-512" hashValue="ZO+eRE91xg7kafXho5w/PBfWH+haqmdI4MrLSFRyjIjX24BEC/FwbTHXr6eEOKLFy3uuWUpuTli75MfRFYlLKA==" saltValue="q/m4YRR0gWXRABI+g36CFw==" spinCount="100000" sheet="1" objects="1" scenarios="1"/>
  <protectedRanges>
    <protectedRange sqref="D16 D18" name="Range2"/>
    <protectedRange sqref="C8 C3:C4 C6" name="Runoff"/>
  </protectedRanges>
  <mergeCells count="19">
    <mergeCell ref="F22:G23"/>
    <mergeCell ref="E18:I18"/>
    <mergeCell ref="C19:I19"/>
    <mergeCell ref="E16:J16"/>
    <mergeCell ref="B16:C16"/>
    <mergeCell ref="A16:A19"/>
    <mergeCell ref="F14:G14"/>
    <mergeCell ref="B4:B5"/>
    <mergeCell ref="B6:B7"/>
    <mergeCell ref="B8:B9"/>
    <mergeCell ref="C7:I7"/>
    <mergeCell ref="C5:I5"/>
    <mergeCell ref="D8:E8"/>
    <mergeCell ref="C9:I9"/>
    <mergeCell ref="C13:I13"/>
    <mergeCell ref="A2:A13"/>
    <mergeCell ref="B12:B13"/>
    <mergeCell ref="B10:B11"/>
    <mergeCell ref="C11:I11"/>
  </mergeCells>
  <conditionalFormatting sqref="K16">
    <cfRule type="expression" dxfId="2" priority="3">
      <formula>D16="Yes"</formula>
    </cfRule>
  </conditionalFormatting>
  <dataValidations count="2">
    <dataValidation type="decimal" operator="greaterThanOrEqual" allowBlank="1" showInputMessage="1" showErrorMessage="1" errorTitle="!" error="Minimum lawn size 1,000 square feet for loading calculations." sqref="C8" xr:uid="{C32DC647-5D87-4FF8-879E-A0393EE48467}">
      <formula1>1000</formula1>
    </dataValidation>
    <dataValidation type="list" allowBlank="1" showInputMessage="1" showErrorMessage="1" sqref="D16" xr:uid="{3361F6EA-21A9-4DD6-9929-4712D28743A2}">
      <formula1>"Yes,No"</formula1>
    </dataValidation>
  </dataValidations>
  <printOptions horizontalCentered="1" verticalCentered="1"/>
  <pageMargins left="0.25" right="0.25" top="0.75" bottom="0.75" header="0.3" footer="0.3"/>
  <pageSetup orientation="landscape" r:id="rId1"/>
  <headerFooter>
    <oddHeader>&amp;CBrewster Board of Health
Nitrogen Loading Calculations Spreadsheet&amp;RResidential</oddHeader>
    <oddFooter>&amp;LVersion 2/07/2022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680D-A0AC-45D4-9FC5-A7114ED970C2}">
  <dimension ref="A1:K26"/>
  <sheetViews>
    <sheetView view="pageLayout" topLeftCell="A10" zoomScaleNormal="100" workbookViewId="0">
      <selection activeCell="D16" sqref="D16"/>
    </sheetView>
  </sheetViews>
  <sheetFormatPr defaultColWidth="9.33203125" defaultRowHeight="14.4" x14ac:dyDescent="0.3"/>
  <cols>
    <col min="1" max="1" width="2.6640625" customWidth="1"/>
    <col min="2" max="2" width="17.44140625" customWidth="1"/>
    <col min="3" max="3" width="11.33203125" customWidth="1"/>
    <col min="4" max="4" width="19.33203125" customWidth="1"/>
    <col min="5" max="5" width="6.33203125" customWidth="1"/>
    <col min="6" max="6" width="13.33203125" bestFit="1" customWidth="1"/>
    <col min="7" max="7" width="10.33203125" bestFit="1" customWidth="1"/>
    <col min="8" max="8" width="11.6640625" customWidth="1"/>
    <col min="9" max="9" width="13" customWidth="1"/>
    <col min="10" max="10" width="12.33203125" customWidth="1"/>
    <col min="11" max="11" width="12.6640625" customWidth="1"/>
  </cols>
  <sheetData>
    <row r="1" spans="1:11" ht="15.75" customHeight="1" thickBot="1" x14ac:dyDescent="0.35">
      <c r="B1" t="s">
        <v>32</v>
      </c>
    </row>
    <row r="2" spans="1:11" ht="30.45" customHeight="1" thickBot="1" x14ac:dyDescent="0.35">
      <c r="A2" s="174" t="s">
        <v>2</v>
      </c>
      <c r="B2" s="30" t="s">
        <v>4</v>
      </c>
      <c r="C2" s="23" t="s">
        <v>34</v>
      </c>
      <c r="D2" s="24" t="s">
        <v>5</v>
      </c>
      <c r="E2" s="25" t="s">
        <v>15</v>
      </c>
      <c r="F2" s="24" t="s">
        <v>31</v>
      </c>
      <c r="G2" s="25" t="s">
        <v>15</v>
      </c>
      <c r="H2" s="23" t="s">
        <v>17</v>
      </c>
      <c r="I2" s="21" t="s">
        <v>13</v>
      </c>
    </row>
    <row r="3" spans="1:11" ht="14.25" customHeight="1" x14ac:dyDescent="0.3">
      <c r="A3" s="175"/>
      <c r="B3" s="22" t="s">
        <v>10</v>
      </c>
      <c r="C3" s="75">
        <v>30000</v>
      </c>
      <c r="D3" s="79"/>
      <c r="E3" s="65"/>
      <c r="F3" s="80"/>
      <c r="G3" s="65"/>
      <c r="H3" s="81"/>
      <c r="I3" s="84"/>
    </row>
    <row r="4" spans="1:11" ht="14.25" customHeight="1" x14ac:dyDescent="0.3">
      <c r="A4" s="175"/>
      <c r="B4" s="177" t="s">
        <v>6</v>
      </c>
      <c r="C4" s="45">
        <v>1212122</v>
      </c>
      <c r="D4" s="76">
        <v>0.75</v>
      </c>
      <c r="E4" s="76" t="s">
        <v>1</v>
      </c>
      <c r="F4" s="76">
        <v>40</v>
      </c>
      <c r="G4" s="76" t="s">
        <v>14</v>
      </c>
      <c r="H4" s="77">
        <f>C4*F4*(1/12)*(1/365)*28.3168</f>
        <v>313455.85616073059</v>
      </c>
      <c r="I4" s="78">
        <f>C4*D4*F4*(1/12)*28.3168*(1/365)</f>
        <v>235091.89212054794</v>
      </c>
    </row>
    <row r="5" spans="1:11" ht="15" customHeight="1" x14ac:dyDescent="0.3">
      <c r="A5" s="175"/>
      <c r="B5" s="177"/>
      <c r="C5" s="178" t="s">
        <v>3</v>
      </c>
      <c r="D5" s="178"/>
      <c r="E5" s="178"/>
      <c r="F5" s="178"/>
      <c r="G5" s="178"/>
      <c r="H5" s="178"/>
      <c r="I5" s="179"/>
    </row>
    <row r="6" spans="1:11" ht="14.25" customHeight="1" x14ac:dyDescent="0.3">
      <c r="A6" s="175"/>
      <c r="B6" s="180" t="s">
        <v>33</v>
      </c>
      <c r="C6" s="45">
        <v>5000</v>
      </c>
      <c r="D6" s="18">
        <v>1.5</v>
      </c>
      <c r="E6" s="18" t="s">
        <v>1</v>
      </c>
      <c r="F6" s="18">
        <v>40</v>
      </c>
      <c r="G6" s="18" t="s">
        <v>14</v>
      </c>
      <c r="H6" s="3">
        <f>C6*F6*(1/12)*(1/365)*28.3168</f>
        <v>1293.0045662100456</v>
      </c>
      <c r="I6" s="13">
        <f>C6*D6*F6*(1/12)*28.3168*(1/365)</f>
        <v>1939.5068493150686</v>
      </c>
    </row>
    <row r="7" spans="1:11" ht="28.95" customHeight="1" x14ac:dyDescent="0.3">
      <c r="A7" s="175"/>
      <c r="B7" s="180"/>
      <c r="C7" s="178" t="s">
        <v>29</v>
      </c>
      <c r="D7" s="178"/>
      <c r="E7" s="178"/>
      <c r="F7" s="178"/>
      <c r="G7" s="178"/>
      <c r="H7" s="178"/>
      <c r="I7" s="179"/>
    </row>
    <row r="8" spans="1:11" ht="28.95" customHeight="1" x14ac:dyDescent="0.3">
      <c r="A8" s="175"/>
      <c r="B8" s="177" t="s">
        <v>11</v>
      </c>
      <c r="C8" s="45">
        <v>1000</v>
      </c>
      <c r="D8" s="181" t="s">
        <v>7</v>
      </c>
      <c r="E8" s="182"/>
      <c r="F8" s="32">
        <v>17</v>
      </c>
      <c r="G8" s="32" t="s">
        <v>14</v>
      </c>
      <c r="H8" s="33">
        <f>C8*F8*(1/12)*(1/365)*28.3168</f>
        <v>109.90538812785387</v>
      </c>
      <c r="I8" s="31">
        <f>0.25*C8*3*454/365</f>
        <v>932.8767123287671</v>
      </c>
    </row>
    <row r="9" spans="1:11" ht="28.95" customHeight="1" x14ac:dyDescent="0.3">
      <c r="A9" s="175"/>
      <c r="B9" s="177"/>
      <c r="C9" s="178" t="s">
        <v>12</v>
      </c>
      <c r="D9" s="178"/>
      <c r="E9" s="178"/>
      <c r="F9" s="178"/>
      <c r="G9" s="178"/>
      <c r="H9" s="178"/>
      <c r="I9" s="179"/>
    </row>
    <row r="10" spans="1:11" ht="14.25" customHeight="1" x14ac:dyDescent="0.3">
      <c r="A10" s="175"/>
      <c r="B10" s="177" t="s">
        <v>30</v>
      </c>
      <c r="C10" s="45">
        <v>0</v>
      </c>
      <c r="D10" s="45">
        <v>0</v>
      </c>
      <c r="E10" s="51" t="s">
        <v>1</v>
      </c>
      <c r="F10" s="87">
        <v>17</v>
      </c>
      <c r="G10" s="18" t="s">
        <v>14</v>
      </c>
      <c r="H10" s="3">
        <f>C10*F10*(1/12)*(1/365)*28.3168</f>
        <v>0</v>
      </c>
      <c r="I10" s="13">
        <f>C10*D10*F10*(1/12)*28.3168*(1/365)</f>
        <v>0</v>
      </c>
    </row>
    <row r="11" spans="1:11" ht="14.25" customHeight="1" x14ac:dyDescent="0.3">
      <c r="A11" s="175"/>
      <c r="B11" s="177"/>
      <c r="C11" s="178" t="s">
        <v>45</v>
      </c>
      <c r="D11" s="178"/>
      <c r="E11" s="178"/>
      <c r="F11" s="178"/>
      <c r="G11" s="178"/>
      <c r="H11" s="178"/>
      <c r="I11" s="179"/>
    </row>
    <row r="12" spans="1:11" ht="14.25" customHeight="1" x14ac:dyDescent="0.3">
      <c r="A12" s="175"/>
      <c r="B12" s="180" t="s">
        <v>8</v>
      </c>
      <c r="C12" s="2">
        <f>C3-C4-C6-C8-C10</f>
        <v>-1188122</v>
      </c>
      <c r="D12" s="18">
        <v>0.05</v>
      </c>
      <c r="E12" s="18" t="s">
        <v>1</v>
      </c>
      <c r="F12" s="18">
        <v>17</v>
      </c>
      <c r="G12" s="18" t="s">
        <v>14</v>
      </c>
      <c r="H12" s="3">
        <f>C12*F12*(1/12)*(1/365)*28.3168</f>
        <v>-130581.00955324201</v>
      </c>
      <c r="I12" s="13">
        <f>C12*D12*F12*(1/12)*28.3168*(1/365)</f>
        <v>-6529.050477662101</v>
      </c>
    </row>
    <row r="13" spans="1:11" ht="14.25" customHeight="1" thickBot="1" x14ac:dyDescent="0.35">
      <c r="A13" s="176"/>
      <c r="B13" s="183"/>
      <c r="C13" s="184" t="s">
        <v>9</v>
      </c>
      <c r="D13" s="184"/>
      <c r="E13" s="184"/>
      <c r="F13" s="184"/>
      <c r="G13" s="184"/>
      <c r="H13" s="184"/>
      <c r="I13" s="185"/>
    </row>
    <row r="14" spans="1:11" ht="14.25" customHeight="1" thickBot="1" x14ac:dyDescent="0.35">
      <c r="A14" s="1"/>
      <c r="F14" s="186" t="s">
        <v>16</v>
      </c>
      <c r="G14" s="187"/>
      <c r="H14" s="36">
        <f>SUM(H4:H12)</f>
        <v>184277.75656182645</v>
      </c>
      <c r="I14" s="37">
        <f>SUM(I4:I12)</f>
        <v>231435.22520452968</v>
      </c>
    </row>
    <row r="15" spans="1:11" ht="7.35" customHeight="1" thickBot="1" x14ac:dyDescent="0.35"/>
    <row r="16" spans="1:11" ht="46.2" customHeight="1" thickBot="1" x14ac:dyDescent="0.35">
      <c r="A16" s="190" t="s">
        <v>18</v>
      </c>
      <c r="B16" s="193" t="s">
        <v>19</v>
      </c>
      <c r="C16" s="194"/>
      <c r="D16" s="46" t="s">
        <v>54</v>
      </c>
      <c r="E16" s="195" t="s">
        <v>35</v>
      </c>
      <c r="F16" s="196"/>
      <c r="G16" s="196"/>
      <c r="H16" s="196"/>
      <c r="I16" s="196"/>
      <c r="J16" s="194"/>
      <c r="K16" s="48">
        <v>19</v>
      </c>
    </row>
    <row r="17" spans="1:11" ht="36" customHeight="1" thickBot="1" x14ac:dyDescent="0.35">
      <c r="A17" s="191"/>
      <c r="B17" s="82"/>
      <c r="C17" s="83"/>
      <c r="D17" s="83"/>
      <c r="E17" s="83"/>
      <c r="F17" s="83"/>
      <c r="G17" s="83"/>
      <c r="H17" s="83"/>
      <c r="I17" s="56"/>
      <c r="J17" s="34" t="s">
        <v>17</v>
      </c>
      <c r="K17" s="20" t="s">
        <v>13</v>
      </c>
    </row>
    <row r="18" spans="1:11" ht="30.45" customHeight="1" thickBot="1" x14ac:dyDescent="0.35">
      <c r="A18" s="192"/>
      <c r="B18" s="200" t="s">
        <v>37</v>
      </c>
      <c r="C18" s="201"/>
      <c r="D18" s="54">
        <v>225</v>
      </c>
      <c r="E18" s="197" t="s">
        <v>36</v>
      </c>
      <c r="F18" s="198"/>
      <c r="G18" s="198"/>
      <c r="H18" s="198"/>
      <c r="I18" s="199"/>
      <c r="J18" s="5">
        <f>D18*3.785</f>
        <v>851.625</v>
      </c>
      <c r="K18" s="14">
        <f>IF(D16="Yes",K16*J18,J18*35)</f>
        <v>16180.875</v>
      </c>
    </row>
    <row r="19" spans="1:11" ht="7.35" customHeight="1" thickBot="1" x14ac:dyDescent="0.35">
      <c r="A19" s="15"/>
      <c r="B19" s="29"/>
      <c r="C19" s="27"/>
      <c r="D19" s="27"/>
      <c r="E19" s="27"/>
      <c r="F19" s="27"/>
      <c r="G19" s="27"/>
      <c r="H19" s="27"/>
      <c r="I19" s="28"/>
      <c r="J19" s="17"/>
      <c r="K19" s="17"/>
    </row>
    <row r="20" spans="1:11" ht="28.95" customHeight="1" thickBot="1" x14ac:dyDescent="0.35">
      <c r="A20" s="15"/>
      <c r="B20" s="6"/>
      <c r="C20" s="6"/>
      <c r="D20" s="16"/>
      <c r="E20" s="16"/>
      <c r="G20" s="16"/>
      <c r="H20" s="16"/>
      <c r="I20" s="38" t="s">
        <v>17</v>
      </c>
      <c r="J20" s="39" t="s">
        <v>13</v>
      </c>
      <c r="K20" s="40" t="s">
        <v>27</v>
      </c>
    </row>
    <row r="21" spans="1:11" ht="42.75" customHeight="1" thickBot="1" x14ac:dyDescent="0.35">
      <c r="A21" s="4"/>
      <c r="C21" s="19"/>
      <c r="D21" s="19"/>
      <c r="E21" s="19"/>
      <c r="G21" s="188" t="s">
        <v>24</v>
      </c>
      <c r="H21" s="189"/>
      <c r="I21" s="52">
        <f>J18+H14</f>
        <v>185129.38156182645</v>
      </c>
      <c r="J21" s="52">
        <f>K18+I14</f>
        <v>247616.10020452968</v>
      </c>
      <c r="K21" s="53">
        <f>J21/I21</f>
        <v>1.3375299918118884</v>
      </c>
    </row>
    <row r="22" spans="1:11" ht="15" thickBot="1" x14ac:dyDescent="0.35">
      <c r="C22" s="19"/>
      <c r="D22" s="19"/>
      <c r="E22" s="19"/>
      <c r="I22" s="71" t="s">
        <v>28</v>
      </c>
      <c r="J22" s="72"/>
      <c r="K22" s="73" t="str">
        <f>TEXT(AVERAGE(K21:K21),"0.00")&amp;" ppm"</f>
        <v>1.34 ppm</v>
      </c>
    </row>
    <row r="23" spans="1:11" x14ac:dyDescent="0.3">
      <c r="B23" s="26"/>
      <c r="C23" s="26"/>
      <c r="D23" s="26"/>
      <c r="E23" s="26"/>
      <c r="F23" s="26"/>
      <c r="G23" s="26"/>
      <c r="H23" s="26"/>
      <c r="I23" s="26"/>
      <c r="J23" s="26"/>
    </row>
    <row r="24" spans="1:11" ht="15" customHeight="1" x14ac:dyDescent="0.3">
      <c r="A24" s="4"/>
      <c r="B24" s="26"/>
      <c r="C24" s="26"/>
      <c r="D24" s="26"/>
      <c r="E24" s="26"/>
      <c r="F24" s="26"/>
      <c r="G24" s="26"/>
      <c r="H24" s="26"/>
      <c r="I24" s="26"/>
      <c r="J24" s="26"/>
    </row>
    <row r="25" spans="1:11" x14ac:dyDescent="0.3">
      <c r="A25" s="4"/>
    </row>
    <row r="26" spans="1:11" x14ac:dyDescent="0.3">
      <c r="A26" s="4"/>
    </row>
  </sheetData>
  <sheetProtection algorithmName="SHA-512" hashValue="BahYra+b17faui/5U3QOquvAaUXh8LtsGAkkFB2JVXyi3wztaLptBGnpIXQEBIuPvVMwcbFD9Jv8qTnfRH39nA==" saltValue="dfslYbWGvV3v1HAU9oHFvw==" spinCount="100000" sheet="1" formatCells="0" formatColumns="0" formatRows="0" insertColumns="0" insertRows="0" insertHyperlinks="0" deleteColumns="0" deleteRows="0" sort="0" autoFilter="0" pivotTables="0"/>
  <protectedRanges>
    <protectedRange sqref="D16 D18" name="Range2"/>
    <protectedRange sqref="C8 C3:C4 C6" name="Runoff"/>
  </protectedRanges>
  <mergeCells count="19">
    <mergeCell ref="F14:G14"/>
    <mergeCell ref="G21:H21"/>
    <mergeCell ref="A16:A18"/>
    <mergeCell ref="B16:C16"/>
    <mergeCell ref="E16:J16"/>
    <mergeCell ref="E18:I18"/>
    <mergeCell ref="B18:C18"/>
    <mergeCell ref="A2:A13"/>
    <mergeCell ref="B4:B5"/>
    <mergeCell ref="C5:I5"/>
    <mergeCell ref="B6:B7"/>
    <mergeCell ref="C7:I7"/>
    <mergeCell ref="B8:B9"/>
    <mergeCell ref="D8:E8"/>
    <mergeCell ref="C9:I9"/>
    <mergeCell ref="B10:B11"/>
    <mergeCell ref="C11:I11"/>
    <mergeCell ref="B12:B13"/>
    <mergeCell ref="C13:I13"/>
  </mergeCells>
  <conditionalFormatting sqref="K16">
    <cfRule type="expression" dxfId="1" priority="1">
      <formula>D16="Yes"</formula>
    </cfRule>
  </conditionalFormatting>
  <dataValidations count="2">
    <dataValidation type="list" allowBlank="1" showInputMessage="1" showErrorMessage="1" sqref="D16" xr:uid="{28FE69DA-0D31-4904-9E64-6E465A2CBB26}">
      <formula1>"Yes,No"</formula1>
    </dataValidation>
    <dataValidation type="decimal" operator="greaterThanOrEqual" allowBlank="1" showInputMessage="1" showErrorMessage="1" errorTitle="!" error="Minimum lawn size 1,000 square feet for loading calculations." sqref="C8" xr:uid="{5BCCF9A6-B8A2-4F01-82F0-DC9C8C1880D3}">
      <formula1>1000</formula1>
    </dataValidation>
  </dataValidations>
  <printOptions horizontalCentered="1" verticalCentered="1"/>
  <pageMargins left="0.25" right="0.25" top="0.75" bottom="0.75" header="0.3" footer="0.3"/>
  <pageSetup orientation="landscape" r:id="rId1"/>
  <headerFooter>
    <oddHeader xml:space="preserve">&amp;CBrewster Board of Health
Nitrogen Loading Calculations Spreadsheet&amp;RCommercial/Industrial
</oddHeader>
    <oddFooter>&amp;LVersion 2/07/2022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B982-0A57-4CF8-BD6E-8C739213470F}">
  <dimension ref="A1:K29"/>
  <sheetViews>
    <sheetView tabSelected="1" view="pageLayout" topLeftCell="A13" zoomScaleNormal="100" workbookViewId="0">
      <selection activeCell="C20" sqref="C20:I20"/>
    </sheetView>
  </sheetViews>
  <sheetFormatPr defaultColWidth="9.33203125" defaultRowHeight="14.4" x14ac:dyDescent="0.3"/>
  <cols>
    <col min="1" max="1" width="2.6640625" customWidth="1"/>
    <col min="2" max="2" width="17.44140625" customWidth="1"/>
    <col min="3" max="3" width="11.33203125" customWidth="1"/>
    <col min="4" max="4" width="19.33203125" customWidth="1"/>
    <col min="5" max="5" width="6.33203125" customWidth="1"/>
    <col min="6" max="6" width="13.33203125" bestFit="1" customWidth="1"/>
    <col min="7" max="7" width="10.33203125" bestFit="1" customWidth="1"/>
    <col min="8" max="8" width="11.6640625" customWidth="1"/>
    <col min="9" max="9" width="13" customWidth="1"/>
    <col min="10" max="10" width="14.33203125" customWidth="1"/>
    <col min="11" max="11" width="10.33203125" customWidth="1"/>
  </cols>
  <sheetData>
    <row r="1" spans="1:11" ht="15.75" customHeight="1" thickBot="1" x14ac:dyDescent="0.35">
      <c r="B1" t="s">
        <v>32</v>
      </c>
    </row>
    <row r="2" spans="1:11" ht="30.45" customHeight="1" thickBot="1" x14ac:dyDescent="0.35">
      <c r="A2" s="214" t="s">
        <v>2</v>
      </c>
      <c r="B2" s="30" t="s">
        <v>4</v>
      </c>
      <c r="C2" s="23" t="s">
        <v>34</v>
      </c>
      <c r="D2" s="24" t="s">
        <v>5</v>
      </c>
      <c r="E2" s="25" t="s">
        <v>15</v>
      </c>
      <c r="F2" s="24" t="s">
        <v>31</v>
      </c>
      <c r="G2" s="25" t="s">
        <v>15</v>
      </c>
      <c r="H2" s="23" t="s">
        <v>17</v>
      </c>
      <c r="I2" s="21" t="s">
        <v>13</v>
      </c>
    </row>
    <row r="3" spans="1:11" ht="14.25" customHeight="1" x14ac:dyDescent="0.3">
      <c r="A3" s="215"/>
      <c r="B3" s="22" t="s">
        <v>10</v>
      </c>
      <c r="C3" s="75">
        <v>30000</v>
      </c>
      <c r="D3" s="79"/>
      <c r="E3" s="65"/>
      <c r="F3" s="80"/>
      <c r="G3" s="65"/>
      <c r="H3" s="81"/>
      <c r="I3" s="66"/>
    </row>
    <row r="4" spans="1:11" ht="14.25" customHeight="1" x14ac:dyDescent="0.3">
      <c r="A4" s="215"/>
      <c r="B4" s="177" t="s">
        <v>6</v>
      </c>
      <c r="C4" s="45">
        <v>4500</v>
      </c>
      <c r="D4" s="76">
        <v>0.75</v>
      </c>
      <c r="E4" s="76" t="s">
        <v>1</v>
      </c>
      <c r="F4" s="76">
        <v>40</v>
      </c>
      <c r="G4" s="76" t="s">
        <v>14</v>
      </c>
      <c r="H4" s="77">
        <f>C4*F4*(1/12)*(1/365)*28.3168</f>
        <v>1163.7041095890411</v>
      </c>
      <c r="I4" s="78">
        <f>C4*D4*F4*(1/12)*28.3168*(1/365)</f>
        <v>872.77808219178087</v>
      </c>
    </row>
    <row r="5" spans="1:11" ht="15" customHeight="1" x14ac:dyDescent="0.3">
      <c r="A5" s="215"/>
      <c r="B5" s="177"/>
      <c r="C5" s="178" t="s">
        <v>46</v>
      </c>
      <c r="D5" s="178"/>
      <c r="E5" s="178"/>
      <c r="F5" s="178"/>
      <c r="G5" s="178"/>
      <c r="H5" s="178"/>
      <c r="I5" s="179"/>
    </row>
    <row r="6" spans="1:11" ht="14.25" customHeight="1" x14ac:dyDescent="0.3">
      <c r="A6" s="215"/>
      <c r="B6" s="180" t="s">
        <v>33</v>
      </c>
      <c r="C6" s="45">
        <v>3000</v>
      </c>
      <c r="D6" s="18">
        <v>1.5</v>
      </c>
      <c r="E6" s="18" t="s">
        <v>1</v>
      </c>
      <c r="F6" s="18">
        <v>40</v>
      </c>
      <c r="G6" s="18" t="s">
        <v>14</v>
      </c>
      <c r="H6" s="3">
        <f>C6*F6*(1/12)*(1/365)*28.3168</f>
        <v>775.80273972602743</v>
      </c>
      <c r="I6" s="13">
        <f>C6*D6*F6*(1/12)*28.3168*(1/365)</f>
        <v>1163.7041095890411</v>
      </c>
    </row>
    <row r="7" spans="1:11" ht="28.95" customHeight="1" x14ac:dyDescent="0.3">
      <c r="A7" s="215"/>
      <c r="B7" s="180"/>
      <c r="C7" s="178" t="s">
        <v>47</v>
      </c>
      <c r="D7" s="178"/>
      <c r="E7" s="178"/>
      <c r="F7" s="178"/>
      <c r="G7" s="178"/>
      <c r="H7" s="178"/>
      <c r="I7" s="179"/>
    </row>
    <row r="8" spans="1:11" ht="28.95" customHeight="1" x14ac:dyDescent="0.3">
      <c r="A8" s="215"/>
      <c r="B8" s="177" t="s">
        <v>11</v>
      </c>
      <c r="C8" s="45">
        <v>1000</v>
      </c>
      <c r="D8" s="181" t="s">
        <v>7</v>
      </c>
      <c r="E8" s="182"/>
      <c r="F8" s="32">
        <v>17</v>
      </c>
      <c r="G8" s="32" t="s">
        <v>14</v>
      </c>
      <c r="H8" s="33">
        <f>C8*F8*(1/12)*(1/365)*28.3168</f>
        <v>109.90538812785387</v>
      </c>
      <c r="I8" s="31">
        <f>0.25*C8*3*454/365</f>
        <v>932.8767123287671</v>
      </c>
    </row>
    <row r="9" spans="1:11" ht="28.95" customHeight="1" x14ac:dyDescent="0.3">
      <c r="A9" s="215"/>
      <c r="B9" s="177"/>
      <c r="C9" s="178" t="s">
        <v>48</v>
      </c>
      <c r="D9" s="178"/>
      <c r="E9" s="178"/>
      <c r="F9" s="178"/>
      <c r="G9" s="178"/>
      <c r="H9" s="178"/>
      <c r="I9" s="179"/>
    </row>
    <row r="10" spans="1:11" ht="14.25" customHeight="1" x14ac:dyDescent="0.3">
      <c r="A10" s="215"/>
      <c r="B10" s="180" t="s">
        <v>30</v>
      </c>
      <c r="C10" s="45">
        <v>0</v>
      </c>
      <c r="D10" s="45">
        <v>0</v>
      </c>
      <c r="E10" s="51" t="s">
        <v>1</v>
      </c>
      <c r="F10" s="87">
        <v>17</v>
      </c>
      <c r="G10" s="18" t="s">
        <v>14</v>
      </c>
      <c r="H10" s="3">
        <f>C10*F10*(1/12)*(1/365)*28.3168</f>
        <v>0</v>
      </c>
      <c r="I10" s="13">
        <f>C10*D10*F10*(1/12)*28.3168*(1/365)</f>
        <v>0</v>
      </c>
    </row>
    <row r="11" spans="1:11" ht="14.25" customHeight="1" x14ac:dyDescent="0.3">
      <c r="A11" s="215"/>
      <c r="B11" s="177"/>
      <c r="C11" s="178" t="s">
        <v>45</v>
      </c>
      <c r="D11" s="178"/>
      <c r="E11" s="178"/>
      <c r="F11" s="178"/>
      <c r="G11" s="178"/>
      <c r="H11" s="178"/>
      <c r="I11" s="179"/>
    </row>
    <row r="12" spans="1:11" ht="14.25" customHeight="1" x14ac:dyDescent="0.3">
      <c r="A12" s="215"/>
      <c r="B12" s="180" t="s">
        <v>8</v>
      </c>
      <c r="C12" s="2">
        <f>C3-C4-C6-C8-C10</f>
        <v>21500</v>
      </c>
      <c r="D12" s="18">
        <v>0.05</v>
      </c>
      <c r="E12" s="18" t="s">
        <v>1</v>
      </c>
      <c r="F12" s="18">
        <v>17</v>
      </c>
      <c r="G12" s="18" t="s">
        <v>14</v>
      </c>
      <c r="H12" s="3">
        <f>C12*F12*(1/12)*(1/365)*28.3168</f>
        <v>2362.9658447488582</v>
      </c>
      <c r="I12" s="13">
        <f>C12*D12*F12*(1/12)*28.3168*(1/365)</f>
        <v>118.14829223744292</v>
      </c>
    </row>
    <row r="13" spans="1:11" ht="14.25" customHeight="1" thickBot="1" x14ac:dyDescent="0.35">
      <c r="A13" s="216"/>
      <c r="B13" s="183"/>
      <c r="C13" s="184" t="s">
        <v>9</v>
      </c>
      <c r="D13" s="184"/>
      <c r="E13" s="184"/>
      <c r="F13" s="184"/>
      <c r="G13" s="184"/>
      <c r="H13" s="184"/>
      <c r="I13" s="185"/>
    </row>
    <row r="14" spans="1:11" ht="14.25" customHeight="1" thickBot="1" x14ac:dyDescent="0.35">
      <c r="A14" s="1"/>
      <c r="F14" s="186" t="s">
        <v>16</v>
      </c>
      <c r="G14" s="187"/>
      <c r="H14" s="36">
        <f>SUM(H4:H12)</f>
        <v>4412.3780821917808</v>
      </c>
      <c r="I14" s="37">
        <f>SUM(I4:I12)</f>
        <v>3087.5071963470323</v>
      </c>
    </row>
    <row r="15" spans="1:11" ht="7.35" customHeight="1" thickBot="1" x14ac:dyDescent="0.35">
      <c r="A15" s="63"/>
      <c r="B15" s="63"/>
      <c r="C15" s="63"/>
      <c r="D15" s="63"/>
      <c r="E15" s="63"/>
      <c r="F15" s="63"/>
      <c r="G15" s="63"/>
      <c r="H15" s="63"/>
      <c r="I15" s="63"/>
      <c r="J15" s="63"/>
      <c r="K15" s="63"/>
    </row>
    <row r="16" spans="1:11" ht="43.35" customHeight="1" thickBot="1" x14ac:dyDescent="0.35">
      <c r="A16" s="207" t="s">
        <v>18</v>
      </c>
      <c r="B16" s="210" t="s">
        <v>19</v>
      </c>
      <c r="C16" s="211"/>
      <c r="D16" s="68" t="s">
        <v>53</v>
      </c>
      <c r="E16" s="211" t="s">
        <v>35</v>
      </c>
      <c r="F16" s="211"/>
      <c r="G16" s="211"/>
      <c r="H16" s="211"/>
      <c r="I16" s="211"/>
      <c r="J16" s="211"/>
      <c r="K16" s="69">
        <v>19</v>
      </c>
    </row>
    <row r="17" spans="1:11" ht="28.95" customHeight="1" x14ac:dyDescent="0.3">
      <c r="A17" s="208"/>
      <c r="B17" s="65"/>
      <c r="C17" s="65"/>
      <c r="D17" s="65"/>
      <c r="E17" s="65"/>
      <c r="F17" s="65"/>
      <c r="G17" s="65"/>
      <c r="H17" s="65"/>
      <c r="I17" s="66"/>
      <c r="J17" s="55" t="s">
        <v>17</v>
      </c>
      <c r="K17" s="67" t="s">
        <v>13</v>
      </c>
    </row>
    <row r="18" spans="1:11" ht="28.95" customHeight="1" x14ac:dyDescent="0.3">
      <c r="A18" s="208"/>
      <c r="B18" s="57" t="s">
        <v>40</v>
      </c>
      <c r="C18" s="35" t="s">
        <v>41</v>
      </c>
      <c r="D18" s="47">
        <v>225</v>
      </c>
      <c r="E18" s="206" t="s">
        <v>36</v>
      </c>
      <c r="F18" s="206"/>
      <c r="G18" s="206"/>
      <c r="H18" s="206"/>
      <c r="I18" s="206"/>
      <c r="J18" s="74">
        <f>D18*3.785</f>
        <v>851.625</v>
      </c>
      <c r="K18" s="13">
        <f>IF(D17="Yes",K17*J18,J18*35)</f>
        <v>29806.875</v>
      </c>
    </row>
    <row r="19" spans="1:11" ht="28.95" customHeight="1" x14ac:dyDescent="0.3">
      <c r="A19" s="208"/>
      <c r="B19" s="70" t="s">
        <v>39</v>
      </c>
      <c r="C19" s="64" t="s">
        <v>20</v>
      </c>
      <c r="D19" s="44">
        <v>5</v>
      </c>
      <c r="E19" s="212" t="s">
        <v>21</v>
      </c>
      <c r="F19" s="212"/>
      <c r="G19" s="212"/>
      <c r="H19" s="212"/>
      <c r="I19" s="212"/>
      <c r="J19" s="74">
        <f>D19*110*3.785</f>
        <v>2081.75</v>
      </c>
      <c r="K19" s="13">
        <f>IF(D16="Yes",K16*J19,J19*35)</f>
        <v>72861.25</v>
      </c>
    </row>
    <row r="20" spans="1:11" ht="28.95" customHeight="1" thickBot="1" x14ac:dyDescent="0.35">
      <c r="A20" s="209"/>
      <c r="B20" s="58" t="s">
        <v>22</v>
      </c>
      <c r="C20" s="213" t="s">
        <v>23</v>
      </c>
      <c r="D20" s="213"/>
      <c r="E20" s="213"/>
      <c r="F20" s="213"/>
      <c r="G20" s="213"/>
      <c r="H20" s="213"/>
      <c r="I20" s="213"/>
      <c r="J20" s="11">
        <f>2.3*55*3.785</f>
        <v>478.80249999999995</v>
      </c>
      <c r="K20" s="12">
        <f>IF(D16="Yes",K16*J20,J20*35)</f>
        <v>16758.087499999998</v>
      </c>
    </row>
    <row r="21" spans="1:11" ht="7.35" customHeight="1" thickBot="1" x14ac:dyDescent="0.35">
      <c r="A21" s="59"/>
      <c r="B21" s="60"/>
      <c r="C21" s="61"/>
      <c r="D21" s="61"/>
      <c r="E21" s="61"/>
      <c r="F21" s="61"/>
      <c r="G21" s="61"/>
      <c r="H21" s="61"/>
      <c r="I21" s="62"/>
      <c r="J21" s="43"/>
      <c r="K21" s="43"/>
    </row>
    <row r="22" spans="1:11" ht="14.25" customHeight="1" thickBot="1" x14ac:dyDescent="0.35">
      <c r="A22" s="15"/>
      <c r="B22" s="6"/>
      <c r="C22" s="6"/>
      <c r="D22" s="16"/>
      <c r="E22" s="16"/>
      <c r="G22" s="16"/>
      <c r="H22" s="16"/>
      <c r="I22" s="38" t="s">
        <v>17</v>
      </c>
      <c r="J22" s="39" t="s">
        <v>42</v>
      </c>
      <c r="K22" s="40" t="s">
        <v>27</v>
      </c>
    </row>
    <row r="23" spans="1:11" ht="25.5" customHeight="1" x14ac:dyDescent="0.3">
      <c r="A23" s="4"/>
      <c r="C23" s="19"/>
      <c r="D23" s="19"/>
      <c r="E23" s="19"/>
      <c r="F23" s="202" t="s">
        <v>24</v>
      </c>
      <c r="G23" s="203"/>
      <c r="H23" s="7" t="s">
        <v>25</v>
      </c>
      <c r="I23" s="8">
        <f>J19+H14+J18</f>
        <v>7345.7530821917808</v>
      </c>
      <c r="J23" s="8">
        <f>K19+I14+K18</f>
        <v>105755.63219634703</v>
      </c>
      <c r="K23" s="9">
        <f>J23/I23</f>
        <v>14.396840053435652</v>
      </c>
    </row>
    <row r="24" spans="1:11" ht="15" customHeight="1" thickBot="1" x14ac:dyDescent="0.35">
      <c r="C24" s="19"/>
      <c r="D24" s="19"/>
      <c r="E24" s="19"/>
      <c r="F24" s="204"/>
      <c r="G24" s="205"/>
      <c r="H24" s="10" t="s">
        <v>26</v>
      </c>
      <c r="I24" s="11">
        <f>J20+H14+J18</f>
        <v>5742.8055821917806</v>
      </c>
      <c r="J24" s="11">
        <f>K20+I14+K18</f>
        <v>49652.469696347034</v>
      </c>
      <c r="K24" s="12">
        <f>J24/I24</f>
        <v>8.6460300606932332</v>
      </c>
    </row>
    <row r="25" spans="1:11" ht="15" thickBot="1" x14ac:dyDescent="0.35">
      <c r="C25" s="19"/>
      <c r="D25" s="19"/>
      <c r="E25" s="19"/>
      <c r="I25" s="71" t="s">
        <v>28</v>
      </c>
      <c r="J25" s="72"/>
      <c r="K25" s="73" t="str">
        <f>TEXT(AVERAGE(K23:K24),"0.00")&amp;" ppm"</f>
        <v>11.52 ppm</v>
      </c>
    </row>
    <row r="26" spans="1:11" x14ac:dyDescent="0.3">
      <c r="B26" s="26"/>
      <c r="C26" s="26"/>
      <c r="D26" s="26"/>
      <c r="E26" s="26"/>
      <c r="F26" s="26"/>
      <c r="G26" s="26"/>
      <c r="H26" s="26"/>
      <c r="I26" s="26"/>
      <c r="J26" s="26"/>
    </row>
    <row r="27" spans="1:11" ht="15" customHeight="1" x14ac:dyDescent="0.3">
      <c r="A27" s="4"/>
      <c r="B27" s="26"/>
      <c r="C27" s="26"/>
      <c r="D27" s="26"/>
      <c r="E27" s="26"/>
      <c r="F27" s="26"/>
      <c r="G27" s="26"/>
      <c r="H27" s="26"/>
      <c r="I27" s="26"/>
      <c r="J27" s="26"/>
    </row>
    <row r="28" spans="1:11" x14ac:dyDescent="0.3">
      <c r="A28" s="4"/>
    </row>
    <row r="29" spans="1:11" x14ac:dyDescent="0.3">
      <c r="A29" s="4"/>
    </row>
  </sheetData>
  <sheetProtection algorithmName="SHA-512" hashValue="UyULRUGx12f+FYmFMG9cO0TT/H7qsbuDfOHv4RH3h+uQlFMKpfgpBBNePNgddshiquCMPne+XF2APO4EXX3wEw==" saltValue="UHow4/44k9/Xz3L5yslw1Q==" spinCount="100000" sheet="1" formatCells="0" formatColumns="0" formatRows="0" insertColumns="0" insertRows="0" insertHyperlinks="0" deleteColumns="0" deleteRows="0" sort="0" autoFilter="0" pivotTables="0"/>
  <protectedRanges>
    <protectedRange sqref="D16 D19" name="Range2"/>
    <protectedRange sqref="C8 C3:C4 C6" name="Runoff"/>
  </protectedRanges>
  <mergeCells count="20">
    <mergeCell ref="A2:A13"/>
    <mergeCell ref="B4:B5"/>
    <mergeCell ref="C5:I5"/>
    <mergeCell ref="B6:B7"/>
    <mergeCell ref="C7:I7"/>
    <mergeCell ref="B8:B9"/>
    <mergeCell ref="D8:E8"/>
    <mergeCell ref="C9:I9"/>
    <mergeCell ref="B10:B11"/>
    <mergeCell ref="C11:I11"/>
    <mergeCell ref="A16:A20"/>
    <mergeCell ref="B16:C16"/>
    <mergeCell ref="E16:J16"/>
    <mergeCell ref="E19:I19"/>
    <mergeCell ref="C20:I20"/>
    <mergeCell ref="F23:G24"/>
    <mergeCell ref="E18:I18"/>
    <mergeCell ref="B12:B13"/>
    <mergeCell ref="C13:I13"/>
    <mergeCell ref="F14:G14"/>
  </mergeCells>
  <conditionalFormatting sqref="K16">
    <cfRule type="expression" dxfId="0" priority="1">
      <formula>D16="Yes"</formula>
    </cfRule>
  </conditionalFormatting>
  <dataValidations disablePrompts="1" count="2">
    <dataValidation type="list" allowBlank="1" showInputMessage="1" showErrorMessage="1" sqref="D16" xr:uid="{361B6118-84D1-43FC-8C51-1894FFFBDB3A}">
      <formula1>"Yes,No"</formula1>
    </dataValidation>
    <dataValidation type="decimal" operator="greaterThanOrEqual" allowBlank="1" showInputMessage="1" showErrorMessage="1" errorTitle="!" error="Minimum lawn size 1,000 square feet for loading calculations." sqref="C8" xr:uid="{FA487FCC-3FBB-4006-9FEE-9A6F87C5E320}">
      <formula1>1000</formula1>
    </dataValidation>
  </dataValidations>
  <printOptions horizontalCentered="1" verticalCentered="1"/>
  <pageMargins left="0.25" right="0.25" top="0.75" bottom="0.5" header="0.3" footer="0.3"/>
  <pageSetup orientation="landscape" r:id="rId1"/>
  <headerFooter>
    <oddHeader>&amp;L&amp;"-,Bold"&amp;KFF0000
&amp;CBrewster Board of Health
Nitrogen Loading Calculations Spreadsheet&amp;RMixed-Use Properties</oddHeader>
    <oddFooter>&amp;LVersion 2/07/2022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Residential</vt:lpstr>
      <vt:lpstr>Commercial|Industrial</vt:lpstr>
      <vt:lpstr>Mixed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Demanche</dc:creator>
  <cp:lastModifiedBy>Amy von Hone</cp:lastModifiedBy>
  <cp:lastPrinted>2022-01-13T20:17:59Z</cp:lastPrinted>
  <dcterms:created xsi:type="dcterms:W3CDTF">2021-11-26T18:49:44Z</dcterms:created>
  <dcterms:modified xsi:type="dcterms:W3CDTF">2022-03-14T17:00:26Z</dcterms:modified>
</cp:coreProperties>
</file>